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7.5\struktura$\отдел экономики\2026 год\ПРОГНОЗ\Итоговый прогноз 2027-2029\1. Для общественных слушаний\"/>
    </mc:Choice>
  </mc:AlternateContent>
  <bookViews>
    <workbookView xWindow="0" yWindow="0" windowWidth="28800" windowHeight="12435"/>
  </bookViews>
  <sheets>
    <sheet name="форма 2п " sheetId="1" r:id="rId1"/>
  </sheets>
  <definedNames>
    <definedName name="_xlnm.Print_Titles" localSheetId="0">'форма 2п '!$6:$9</definedName>
    <definedName name="_xlnm.Print_Area" localSheetId="0">'форма 2п '!$A$1:$N$68</definedName>
    <definedName name="Регионы">#REF!</definedName>
  </definedNames>
  <calcPr calcId="152511"/>
</workbook>
</file>

<file path=xl/calcChain.xml><?xml version="1.0" encoding="utf-8"?>
<calcChain xmlns="http://schemas.openxmlformats.org/spreadsheetml/2006/main">
  <c r="E38" i="1" l="1"/>
  <c r="N34" i="1" l="1"/>
  <c r="M34" i="1"/>
  <c r="L34" i="1"/>
  <c r="K34" i="1"/>
  <c r="J34" i="1" l="1"/>
  <c r="I34" i="1" l="1"/>
  <c r="H34" i="1" l="1"/>
  <c r="F34" i="1" l="1"/>
  <c r="H59" i="1" l="1"/>
  <c r="J59" i="1" s="1"/>
  <c r="L59" i="1" s="1"/>
  <c r="N59" i="1" s="1"/>
  <c r="E60" i="1"/>
  <c r="I59" i="1" l="1"/>
  <c r="K59" i="1" s="1"/>
  <c r="M59" i="1" s="1"/>
  <c r="M14" i="1"/>
  <c r="N14" i="1"/>
  <c r="L14" i="1"/>
  <c r="K14" i="1"/>
  <c r="H13" i="1"/>
  <c r="J13" i="1" s="1"/>
  <c r="F14" i="1"/>
  <c r="L13" i="1" l="1"/>
  <c r="N13" i="1" s="1"/>
  <c r="J14" i="1"/>
  <c r="H14" i="1"/>
  <c r="I13" i="1"/>
  <c r="K54" i="1"/>
  <c r="M54" i="1" s="1"/>
  <c r="H54" i="1"/>
  <c r="J54" i="1" s="1"/>
  <c r="L54" i="1" s="1"/>
  <c r="N54" i="1" s="1"/>
  <c r="J51" i="1"/>
  <c r="L51" i="1" s="1"/>
  <c r="N51" i="1" s="1"/>
  <c r="J50" i="1"/>
  <c r="L50" i="1" s="1"/>
  <c r="N50" i="1" s="1"/>
  <c r="J49" i="1"/>
  <c r="L49" i="1" s="1"/>
  <c r="N49" i="1" s="1"/>
  <c r="I51" i="1"/>
  <c r="K51" i="1" s="1"/>
  <c r="M51" i="1" s="1"/>
  <c r="I50" i="1"/>
  <c r="K50" i="1" s="1"/>
  <c r="M50" i="1" s="1"/>
  <c r="I49" i="1"/>
  <c r="K49" i="1" s="1"/>
  <c r="M49" i="1" s="1"/>
  <c r="L48" i="1"/>
  <c r="N48" i="1" s="1"/>
  <c r="K48" i="1"/>
  <c r="M48" i="1" s="1"/>
  <c r="K13" i="1" l="1"/>
  <c r="M13" i="1" s="1"/>
  <c r="I14" i="1"/>
  <c r="H25" i="1"/>
  <c r="H16" i="1"/>
  <c r="H17" i="1" s="1"/>
  <c r="I16" i="1" l="1"/>
  <c r="I17" i="1" s="1"/>
  <c r="J25" i="1"/>
  <c r="I25" i="1"/>
  <c r="H22" i="1"/>
  <c r="I22" i="1" s="1"/>
  <c r="J22" i="1" l="1"/>
  <c r="K16" i="1"/>
  <c r="H19" i="1" l="1"/>
  <c r="I19" i="1" s="1"/>
  <c r="K19" i="1" s="1"/>
  <c r="M19" i="1" s="1"/>
  <c r="F17" i="1"/>
  <c r="G17" i="1"/>
  <c r="J16" i="1" l="1"/>
  <c r="J19" i="1"/>
  <c r="L19" i="1" s="1"/>
  <c r="N19" i="1" s="1"/>
  <c r="M16" i="1"/>
  <c r="F60" i="1"/>
  <c r="L16" i="1" l="1"/>
  <c r="L17" i="1" s="1"/>
  <c r="J17" i="1"/>
  <c r="N16" i="1" l="1"/>
  <c r="N17" i="1" s="1"/>
  <c r="G37" i="1" l="1"/>
  <c r="G38" i="1"/>
  <c r="M17" i="1"/>
  <c r="G60" i="1"/>
  <c r="D17" i="1"/>
  <c r="E17" i="1"/>
  <c r="E46" i="1"/>
  <c r="D46" i="1"/>
  <c r="D39" i="1"/>
  <c r="E39" i="1"/>
  <c r="G43" i="1"/>
  <c r="G42" i="1" s="1"/>
  <c r="G46" i="1"/>
  <c r="G44" i="1"/>
  <c r="E42" i="1"/>
  <c r="E45" i="1"/>
  <c r="E44" i="1"/>
  <c r="E43" i="1"/>
  <c r="D33" i="1"/>
  <c r="E34" i="1" s="1"/>
  <c r="L25" i="1"/>
  <c r="N25" i="1" s="1"/>
  <c r="K25" i="1"/>
  <c r="M25" i="1" s="1"/>
  <c r="G23" i="1"/>
  <c r="L22" i="1"/>
  <c r="N22" i="1" s="1"/>
  <c r="K22" i="1"/>
  <c r="M22" i="1" s="1"/>
  <c r="E27" i="1"/>
  <c r="E24" i="1"/>
  <c r="G34" i="1" l="1"/>
</calcChain>
</file>

<file path=xl/sharedStrings.xml><?xml version="1.0" encoding="utf-8"?>
<sst xmlns="http://schemas.openxmlformats.org/spreadsheetml/2006/main" count="134" uniqueCount="93">
  <si>
    <t>Показатели</t>
  </si>
  <si>
    <t>Единица измерения</t>
  </si>
  <si>
    <t>отчет</t>
  </si>
  <si>
    <t>оценка</t>
  </si>
  <si>
    <t>прогноз</t>
  </si>
  <si>
    <t>консервативный</t>
  </si>
  <si>
    <t>базовый</t>
  </si>
  <si>
    <t>1 вариант</t>
  </si>
  <si>
    <t>2 вариант</t>
  </si>
  <si>
    <t>1.</t>
  </si>
  <si>
    <t>Население</t>
  </si>
  <si>
    <t>Численность населения (в среднегодовом исчислении)</t>
  </si>
  <si>
    <t>тыс.чел.</t>
  </si>
  <si>
    <t>тыс. чел</t>
  </si>
  <si>
    <t>2.</t>
  </si>
  <si>
    <t>Промышленное производство</t>
  </si>
  <si>
    <t xml:space="preserve">Объем отгруженной продукции (работ. услуг) </t>
  </si>
  <si>
    <t xml:space="preserve">млн. руб. </t>
  </si>
  <si>
    <t xml:space="preserve">Индекс промышленного производства </t>
  </si>
  <si>
    <t>% к предыдущему году в сопоставимых ценах</t>
  </si>
  <si>
    <t>3.</t>
  </si>
  <si>
    <t>Строительство</t>
  </si>
  <si>
    <t>Объем работ, выполненных по виду деятельности "Строительство"</t>
  </si>
  <si>
    <t>в ценах соответствующих лет; млн. руб.</t>
  </si>
  <si>
    <t>Индекс физического объема работ, выполненных по виду деятельности "Строительство"</t>
  </si>
  <si>
    <t>Индекс-дефлятор по виду деятельности "Строительство"</t>
  </si>
  <si>
    <t>% к предыдущему году</t>
  </si>
  <si>
    <t>Ввод в действие жилых домов</t>
  </si>
  <si>
    <t>тыс. кв. м. общей площади</t>
  </si>
  <si>
    <t>4.</t>
  </si>
  <si>
    <t>Индекс  потребительских цен на товары и услуги, на конец года</t>
  </si>
  <si>
    <t>% к декабрю предыдущего года</t>
  </si>
  <si>
    <t>Оборот розничной торговли</t>
  </si>
  <si>
    <t>млн. рублей</t>
  </si>
  <si>
    <t>Темп роста оборота розничной торговли</t>
  </si>
  <si>
    <t>% г/г</t>
  </si>
  <si>
    <t>Индекс-дефлятор</t>
  </si>
  <si>
    <t>Объем платных услуг населению</t>
  </si>
  <si>
    <t>Темп роста объема платных услуг населению</t>
  </si>
  <si>
    <t>5.</t>
  </si>
  <si>
    <t>Малое и среднее предпринимательство, включая микропредприятия</t>
  </si>
  <si>
    <t>Количество малых и средних предприятий, включая микропредприятия (на конец года)</t>
  </si>
  <si>
    <t>единиц</t>
  </si>
  <si>
    <t>Среднесписочная численность работников малых и средних предприятий, включая микропредприятия (без внешних совместителей)</t>
  </si>
  <si>
    <t>тыс. чел.</t>
  </si>
  <si>
    <t>Оборот малых и средних предприятий, включая микропредприятия</t>
  </si>
  <si>
    <t xml:space="preserve">млрд. руб. </t>
  </si>
  <si>
    <t>6.</t>
  </si>
  <si>
    <t>Инвестиции</t>
  </si>
  <si>
    <t>Инвестиции в основной капитал</t>
  </si>
  <si>
    <t>Индекс физического объема инвестиций в основной капитал</t>
  </si>
  <si>
    <t>% к предыдущему году в сопоставимых ценахг/г</t>
  </si>
  <si>
    <t>Индекс-дефлятор инвестиций в основной капитал</t>
  </si>
  <si>
    <t>Инвестиции в основной капитал по источникам финансирования</t>
  </si>
  <si>
    <t>Собственные средства</t>
  </si>
  <si>
    <t>Привлеченные средства, из них:</t>
  </si>
  <si>
    <t xml:space="preserve">          кредиты банков, в том числе:</t>
  </si>
  <si>
    <t>Заемные средства других организаций</t>
  </si>
  <si>
    <t>Бюджетные средства, в том числе:</t>
  </si>
  <si>
    <t xml:space="preserve">          федеральный бюджет</t>
  </si>
  <si>
    <t xml:space="preserve">          бюджеты субъектов Российской Федерации</t>
  </si>
  <si>
    <t xml:space="preserve">          из местных бюджетов</t>
  </si>
  <si>
    <t>7.</t>
  </si>
  <si>
    <t>Денежные доходы населения</t>
  </si>
  <si>
    <t>Прожиточный минимум в среднем на душу населения (в среднем за год), в том числе по основным социально-демографическим группам населения:</t>
  </si>
  <si>
    <t>руб/мес</t>
  </si>
  <si>
    <t xml:space="preserve">          трудоспособного населения</t>
  </si>
  <si>
    <t xml:space="preserve">          пенсионеров</t>
  </si>
  <si>
    <t xml:space="preserve">          детей</t>
  </si>
  <si>
    <t>8.</t>
  </si>
  <si>
    <t>Труд и занятость</t>
  </si>
  <si>
    <t>Численность работников организаций, не относящимся к субъектам малого предпринимательства</t>
  </si>
  <si>
    <t>Номинальная начисленная среднемесячная заработная плата работников организаций</t>
  </si>
  <si>
    <t>Темп роста номинальной начисленной среднемесячной заработной платы работников организаций</t>
  </si>
  <si>
    <t>Реальная заработная плата  работников организаций</t>
  </si>
  <si>
    <t>Уровень зарегистрированной безработицы (на конец года)</t>
  </si>
  <si>
    <t>%</t>
  </si>
  <si>
    <t>Численность безработных, зарегистрированных в  государственных учреждениях службы занятости населения (на конец года)</t>
  </si>
  <si>
    <t>Фонд заработной платы работников организаций</t>
  </si>
  <si>
    <t xml:space="preserve">млн.руб. </t>
  </si>
  <si>
    <t>Темп роста фонда заработной платы работников организаций</t>
  </si>
  <si>
    <t xml:space="preserve">Начальник управления экономики </t>
  </si>
  <si>
    <t xml:space="preserve">и инвестиций администрации </t>
  </si>
  <si>
    <t>Находкинского городского округа                                                                                              К.А. Петрошенко</t>
  </si>
  <si>
    <t>9.</t>
  </si>
  <si>
    <t>Финансовая деятельность</t>
  </si>
  <si>
    <r>
      <t xml:space="preserve">Прибыль прибыльных предприятий </t>
    </r>
    <r>
      <rPr>
        <sz val="10"/>
        <color theme="1"/>
        <rFont val="Times New Roman"/>
        <family val="1"/>
        <charset val="204"/>
      </rPr>
      <t>(кроме МСП)</t>
    </r>
  </si>
  <si>
    <t>Торговля и услуги населению</t>
  </si>
  <si>
    <t xml:space="preserve">          кредиты иностранных банков</t>
  </si>
  <si>
    <t>Прочие (в т.ч. средства государственных внебюджетных фондов)</t>
  </si>
  <si>
    <t>Прогноз социально-экономического развития Находкинского городского округа на 2027 год и период 2028-2029 гг.</t>
  </si>
  <si>
    <t>-</t>
  </si>
  <si>
    <t>млн.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</si>
</sst>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"/>
  </numFmts>
  <fonts count="29">
    <font>
      <sz val="10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mo"/>
    </font>
    <font>
      <b/>
      <sz val="16"/>
      <color theme="1"/>
      <name val="Times New Roman"/>
      <family val="1"/>
      <charset val="204"/>
    </font>
    <font>
      <b/>
      <sz val="16"/>
      <color theme="1"/>
      <name val="Arimo"/>
    </font>
    <font>
      <b/>
      <sz val="16"/>
      <color rgb="FFFF0000"/>
      <name val="Arimo"/>
    </font>
    <font>
      <sz val="10"/>
      <name val="Arimo"/>
    </font>
    <font>
      <b/>
      <sz val="13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rgb="FF003366"/>
      <name val="Times New Roman"/>
      <family val="1"/>
      <charset val="204"/>
    </font>
    <font>
      <sz val="10"/>
      <color rgb="FFFF0000"/>
      <name val="Arimo"/>
    </font>
    <font>
      <sz val="16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Arimo"/>
    </font>
    <font>
      <sz val="14"/>
      <color rgb="FF000000"/>
      <name val="Calibri"/>
      <family val="2"/>
      <charset val="204"/>
      <scheme val="minor"/>
    </font>
    <font>
      <sz val="10"/>
      <name val="Arial Cyr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Calibri"/>
      <family val="2"/>
      <charset val="204"/>
      <scheme val="minor"/>
    </font>
    <font>
      <sz val="13"/>
      <name val="Arimo"/>
    </font>
  </fonts>
  <fills count="9">
    <fill>
      <patternFill patternType="none"/>
    </fill>
    <fill>
      <patternFill patternType="gray125"/>
    </fill>
    <fill>
      <patternFill patternType="solid">
        <fgColor rgb="FFF2DBDB"/>
        <bgColor rgb="FFF2DBDB"/>
      </patternFill>
    </fill>
    <fill>
      <patternFill patternType="solid">
        <fgColor theme="0"/>
        <bgColor theme="0"/>
      </patternFill>
    </fill>
    <fill>
      <patternFill patternType="solid">
        <fgColor rgb="FFCCC0D9"/>
        <bgColor rgb="FFCCC0D9"/>
      </patternFill>
    </fill>
    <fill>
      <patternFill patternType="solid">
        <fgColor theme="0"/>
        <bgColor rgb="FF00CC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theme="0"/>
      </patternFill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6" fillId="0" borderId="0"/>
    <xf numFmtId="0" fontId="19" fillId="0" borderId="0"/>
    <xf numFmtId="0" fontId="16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164" fontId="16" fillId="0" borderId="0" applyFont="0" applyFill="0" applyBorder="0" applyAlignment="0" applyProtection="0"/>
  </cellStyleXfs>
  <cellXfs count="14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0" fillId="0" borderId="0" xfId="0" applyFont="1" applyAlignment="1"/>
    <xf numFmtId="0" fontId="4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4" borderId="0" xfId="0" applyFont="1" applyFill="1" applyBorder="1" applyAlignment="1"/>
    <xf numFmtId="4" fontId="2" fillId="0" borderId="0" xfId="0" applyNumberFormat="1" applyFont="1" applyAlignment="1"/>
    <xf numFmtId="4" fontId="8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/>
    <xf numFmtId="0" fontId="15" fillId="0" borderId="0" xfId="0" applyFont="1" applyAlignment="1"/>
    <xf numFmtId="0" fontId="22" fillId="0" borderId="5" xfId="0" applyFont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wrapText="1"/>
    </xf>
    <xf numFmtId="0" fontId="23" fillId="0" borderId="5" xfId="0" applyFont="1" applyBorder="1" applyAlignment="1">
      <alignment horizontal="center" vertical="center"/>
    </xf>
    <xf numFmtId="0" fontId="23" fillId="0" borderId="5" xfId="0" applyFont="1" applyBorder="1" applyAlignment="1">
      <alignment horizontal="left" vertical="center" shrinkToFit="1"/>
    </xf>
    <xf numFmtId="0" fontId="24" fillId="0" borderId="3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/>
    </xf>
    <xf numFmtId="0" fontId="23" fillId="0" borderId="5" xfId="0" applyFont="1" applyBorder="1" applyAlignment="1">
      <alignment vertical="center" wrapText="1"/>
    </xf>
    <xf numFmtId="4" fontId="23" fillId="3" borderId="5" xfId="0" applyNumberFormat="1" applyFont="1" applyFill="1" applyBorder="1" applyAlignment="1">
      <alignment horizontal="center" vertical="center"/>
    </xf>
    <xf numFmtId="0" fontId="24" fillId="2" borderId="5" xfId="0" applyFont="1" applyFill="1" applyBorder="1" applyAlignment="1"/>
    <xf numFmtId="0" fontId="23" fillId="0" borderId="5" xfId="0" applyFont="1" applyBorder="1" applyAlignment="1">
      <alignment horizontal="center" vertical="center" shrinkToFit="1"/>
    </xf>
    <xf numFmtId="0" fontId="23" fillId="3" borderId="5" xfId="0" applyFont="1" applyFill="1" applyBorder="1" applyAlignment="1">
      <alignment horizontal="left" vertical="center" shrinkToFit="1"/>
    </xf>
    <xf numFmtId="0" fontId="24" fillId="3" borderId="5" xfId="0" applyFont="1" applyFill="1" applyBorder="1" applyAlignment="1">
      <alignment horizontal="center" vertical="center" wrapText="1"/>
    </xf>
    <xf numFmtId="4" fontId="23" fillId="3" borderId="4" xfId="0" applyNumberFormat="1" applyFont="1" applyFill="1" applyBorder="1" applyAlignment="1">
      <alignment horizontal="center" vertical="center"/>
    </xf>
    <xf numFmtId="0" fontId="24" fillId="0" borderId="5" xfId="0" applyFont="1" applyBorder="1" applyAlignment="1">
      <alignment horizontal="center" vertical="center" wrapText="1"/>
    </xf>
    <xf numFmtId="0" fontId="26" fillId="2" borderId="5" xfId="0" applyFont="1" applyFill="1" applyBorder="1" applyAlignment="1">
      <alignment wrapText="1"/>
    </xf>
    <xf numFmtId="0" fontId="23" fillId="0" borderId="5" xfId="0" applyFont="1" applyBorder="1" applyAlignment="1">
      <alignment horizontal="left" vertical="center" wrapText="1" shrinkToFit="1"/>
    </xf>
    <xf numFmtId="0" fontId="24" fillId="0" borderId="5" xfId="0" applyFont="1" applyBorder="1" applyAlignment="1">
      <alignment horizontal="center" vertical="center" wrapText="1" shrinkToFit="1"/>
    </xf>
    <xf numFmtId="4" fontId="23" fillId="3" borderId="3" xfId="0" applyNumberFormat="1" applyFont="1" applyFill="1" applyBorder="1" applyAlignment="1">
      <alignment horizontal="center" vertical="center"/>
    </xf>
    <xf numFmtId="0" fontId="24" fillId="0" borderId="3" xfId="0" applyFont="1" applyBorder="1" applyAlignment="1">
      <alignment horizontal="center" vertical="center" wrapText="1" shrinkToFit="1"/>
    </xf>
    <xf numFmtId="0" fontId="24" fillId="2" borderId="5" xfId="0" applyFont="1" applyFill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shrinkToFit="1"/>
    </xf>
    <xf numFmtId="16" fontId="23" fillId="0" borderId="5" xfId="0" applyNumberFormat="1" applyFont="1" applyBorder="1" applyAlignment="1">
      <alignment horizontal="center" vertical="center"/>
    </xf>
    <xf numFmtId="16" fontId="17" fillId="0" borderId="5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left" vertical="center" shrinkToFit="1"/>
    </xf>
    <xf numFmtId="4" fontId="17" fillId="3" borderId="3" xfId="0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/>
    </xf>
    <xf numFmtId="3" fontId="17" fillId="3" borderId="9" xfId="0" applyNumberFormat="1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wrapText="1"/>
    </xf>
    <xf numFmtId="0" fontId="23" fillId="0" borderId="7" xfId="0" applyFont="1" applyBorder="1" applyAlignment="1">
      <alignment horizontal="center" vertical="center" shrinkToFit="1"/>
    </xf>
    <xf numFmtId="0" fontId="0" fillId="0" borderId="0" xfId="0" applyFont="1" applyAlignment="1"/>
    <xf numFmtId="0" fontId="18" fillId="6" borderId="14" xfId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7" fillId="0" borderId="5" xfId="0" applyFont="1" applyBorder="1" applyAlignment="1">
      <alignment horizontal="right" vertical="center" shrinkToFit="1"/>
    </xf>
    <xf numFmtId="2" fontId="17" fillId="3" borderId="3" xfId="0" applyNumberFormat="1" applyFont="1" applyFill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2" fontId="17" fillId="0" borderId="9" xfId="0" applyNumberFormat="1" applyFont="1" applyBorder="1" applyAlignment="1">
      <alignment horizontal="center" vertical="center"/>
    </xf>
    <xf numFmtId="4" fontId="28" fillId="2" borderId="10" xfId="0" applyNumberFormat="1" applyFont="1" applyFill="1" applyBorder="1" applyAlignment="1">
      <alignment horizontal="center" vertical="center"/>
    </xf>
    <xf numFmtId="4" fontId="17" fillId="2" borderId="9" xfId="0" applyNumberFormat="1" applyFont="1" applyFill="1" applyBorder="1" applyAlignment="1">
      <alignment horizontal="center" vertical="center"/>
    </xf>
    <xf numFmtId="2" fontId="17" fillId="3" borderId="11" xfId="0" applyNumberFormat="1" applyFont="1" applyFill="1" applyBorder="1" applyAlignment="1">
      <alignment horizontal="center" vertical="center"/>
    </xf>
    <xf numFmtId="4" fontId="28" fillId="2" borderId="5" xfId="0" applyNumberFormat="1" applyFont="1" applyFill="1" applyBorder="1" applyAlignment="1">
      <alignment horizontal="center" vertical="center"/>
    </xf>
    <xf numFmtId="4" fontId="28" fillId="2" borderId="8" xfId="0" applyNumberFormat="1" applyFont="1" applyFill="1" applyBorder="1" applyAlignment="1">
      <alignment horizontal="center" vertical="center"/>
    </xf>
    <xf numFmtId="4" fontId="28" fillId="2" borderId="3" xfId="0" applyNumberFormat="1" applyFont="1" applyFill="1" applyBorder="1" applyAlignment="1">
      <alignment horizontal="center" vertical="center"/>
    </xf>
    <xf numFmtId="4" fontId="17" fillId="3" borderId="8" xfId="0" applyNumberFormat="1" applyFont="1" applyFill="1" applyBorder="1" applyAlignment="1">
      <alignment horizontal="center" vertical="center"/>
    </xf>
    <xf numFmtId="2" fontId="17" fillId="3" borderId="9" xfId="0" applyNumberFormat="1" applyFont="1" applyFill="1" applyBorder="1" applyAlignment="1">
      <alignment horizontal="center" vertical="center"/>
    </xf>
    <xf numFmtId="4" fontId="17" fillId="0" borderId="3" xfId="0" applyNumberFormat="1" applyFont="1" applyBorder="1" applyAlignment="1">
      <alignment horizontal="center" vertical="center"/>
    </xf>
    <xf numFmtId="165" fontId="17" fillId="0" borderId="9" xfId="0" applyNumberFormat="1" applyFont="1" applyBorder="1" applyAlignment="1">
      <alignment horizontal="center" vertical="center"/>
    </xf>
    <xf numFmtId="4" fontId="28" fillId="2" borderId="9" xfId="0" applyNumberFormat="1" applyFont="1" applyFill="1" applyBorder="1" applyAlignment="1">
      <alignment horizontal="center" vertical="center"/>
    </xf>
    <xf numFmtId="4" fontId="17" fillId="3" borderId="3" xfId="0" applyNumberFormat="1" applyFont="1" applyFill="1" applyBorder="1" applyAlignment="1">
      <alignment horizontal="center" vertical="center" wrapText="1"/>
    </xf>
    <xf numFmtId="4" fontId="17" fillId="7" borderId="9" xfId="1" applyNumberFormat="1" applyFont="1" applyFill="1" applyBorder="1" applyAlignment="1" applyProtection="1">
      <alignment horizontal="center" vertical="center" wrapText="1"/>
      <protection locked="0"/>
    </xf>
    <xf numFmtId="4" fontId="17" fillId="7" borderId="14" xfId="1" applyNumberFormat="1" applyFont="1" applyFill="1" applyBorder="1" applyAlignment="1" applyProtection="1">
      <alignment horizontal="center" vertical="center" wrapText="1"/>
      <protection locked="0"/>
    </xf>
    <xf numFmtId="4" fontId="17" fillId="5" borderId="9" xfId="0" applyNumberFormat="1" applyFont="1" applyFill="1" applyBorder="1" applyAlignment="1">
      <alignment horizontal="center" vertical="center"/>
    </xf>
    <xf numFmtId="4" fontId="17" fillId="0" borderId="9" xfId="0" applyNumberFormat="1" applyFont="1" applyFill="1" applyBorder="1" applyAlignment="1">
      <alignment horizontal="center" vertical="center"/>
    </xf>
    <xf numFmtId="4" fontId="17" fillId="3" borderId="19" xfId="0" applyNumberFormat="1" applyFont="1" applyFill="1" applyBorder="1" applyAlignment="1">
      <alignment horizontal="center" vertical="center"/>
    </xf>
    <xf numFmtId="1" fontId="17" fillId="3" borderId="9" xfId="0" applyNumberFormat="1" applyFont="1" applyFill="1" applyBorder="1" applyAlignment="1">
      <alignment horizontal="center" vertical="center"/>
    </xf>
    <xf numFmtId="1" fontId="17" fillId="0" borderId="9" xfId="0" applyNumberFormat="1" applyFont="1" applyBorder="1" applyAlignment="1">
      <alignment horizontal="center" vertical="center"/>
    </xf>
    <xf numFmtId="4" fontId="28" fillId="2" borderId="11" xfId="0" applyNumberFormat="1" applyFont="1" applyFill="1" applyBorder="1" applyAlignment="1">
      <alignment horizontal="center" vertical="center"/>
    </xf>
    <xf numFmtId="4" fontId="17" fillId="0" borderId="9" xfId="0" applyNumberFormat="1" applyFont="1" applyBorder="1" applyAlignment="1">
      <alignment horizontal="center" vertical="center"/>
    </xf>
    <xf numFmtId="2" fontId="17" fillId="0" borderId="14" xfId="0" applyNumberFormat="1" applyFont="1" applyBorder="1" applyAlignment="1">
      <alignment horizontal="center" vertical="center"/>
    </xf>
    <xf numFmtId="4" fontId="17" fillId="3" borderId="14" xfId="0" applyNumberFormat="1" applyFont="1" applyFill="1" applyBorder="1" applyAlignment="1">
      <alignment horizontal="center" vertical="center"/>
    </xf>
    <xf numFmtId="4" fontId="17" fillId="3" borderId="12" xfId="0" applyNumberFormat="1" applyFont="1" applyFill="1" applyBorder="1" applyAlignment="1">
      <alignment horizontal="center" vertical="center"/>
    </xf>
    <xf numFmtId="3" fontId="17" fillId="3" borderId="14" xfId="0" applyNumberFormat="1" applyFont="1" applyFill="1" applyBorder="1" applyAlignment="1">
      <alignment horizontal="center" vertical="center"/>
    </xf>
    <xf numFmtId="0" fontId="18" fillId="0" borderId="9" xfId="0" applyFont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2" fillId="0" borderId="0" xfId="0" applyFont="1" applyBorder="1" applyAlignment="1"/>
    <xf numFmtId="0" fontId="0" fillId="0" borderId="0" xfId="0" applyFont="1" applyAlignment="1"/>
    <xf numFmtId="0" fontId="23" fillId="0" borderId="0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4" fontId="17" fillId="2" borderId="14" xfId="0" applyNumberFormat="1" applyFont="1" applyFill="1" applyBorder="1" applyAlignment="1">
      <alignment horizontal="center" vertical="center"/>
    </xf>
    <xf numFmtId="4" fontId="28" fillId="2" borderId="20" xfId="0" applyNumberFormat="1" applyFont="1" applyFill="1" applyBorder="1" applyAlignment="1">
      <alignment horizontal="center" vertical="center"/>
    </xf>
    <xf numFmtId="4" fontId="28" fillId="2" borderId="14" xfId="0" applyNumberFormat="1" applyFont="1" applyFill="1" applyBorder="1" applyAlignment="1">
      <alignment horizontal="center" vertical="center"/>
    </xf>
    <xf numFmtId="4" fontId="17" fillId="5" borderId="14" xfId="0" applyNumberFormat="1" applyFont="1" applyFill="1" applyBorder="1" applyAlignment="1">
      <alignment horizontal="center" vertical="center"/>
    </xf>
    <xf numFmtId="4" fontId="28" fillId="2" borderId="21" xfId="0" applyNumberFormat="1" applyFont="1" applyFill="1" applyBorder="1" applyAlignment="1">
      <alignment horizontal="center" vertical="center"/>
    </xf>
    <xf numFmtId="4" fontId="17" fillId="0" borderId="14" xfId="0" applyNumberFormat="1" applyFont="1" applyBorder="1" applyAlignment="1">
      <alignment horizontal="center" vertical="center"/>
    </xf>
    <xf numFmtId="0" fontId="17" fillId="0" borderId="2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4" fontId="23" fillId="3" borderId="19" xfId="0" applyNumberFormat="1" applyFont="1" applyFill="1" applyBorder="1" applyAlignment="1">
      <alignment horizontal="center" vertical="center"/>
    </xf>
    <xf numFmtId="2" fontId="17" fillId="0" borderId="9" xfId="0" applyNumberFormat="1" applyFont="1" applyBorder="1" applyAlignment="1">
      <alignment horizontal="center"/>
    </xf>
    <xf numFmtId="0" fontId="25" fillId="6" borderId="5" xfId="0" applyFont="1" applyFill="1" applyBorder="1" applyAlignment="1">
      <alignment vertical="center" wrapText="1" shrinkToFit="1"/>
    </xf>
    <xf numFmtId="0" fontId="23" fillId="6" borderId="5" xfId="0" applyFont="1" applyFill="1" applyBorder="1" applyAlignment="1">
      <alignment horizontal="center" vertical="center" shrinkToFit="1"/>
    </xf>
    <xf numFmtId="0" fontId="24" fillId="6" borderId="5" xfId="0" applyFont="1" applyFill="1" applyBorder="1" applyAlignment="1">
      <alignment horizontal="center" vertical="center" wrapText="1"/>
    </xf>
    <xf numFmtId="4" fontId="17" fillId="8" borderId="3" xfId="0" applyNumberFormat="1" applyFont="1" applyFill="1" applyBorder="1" applyAlignment="1">
      <alignment horizontal="center" vertical="center"/>
    </xf>
    <xf numFmtId="0" fontId="27" fillId="6" borderId="14" xfId="0" applyFont="1" applyFill="1" applyBorder="1" applyAlignment="1"/>
    <xf numFmtId="0" fontId="27" fillId="6" borderId="9" xfId="0" applyFont="1" applyFill="1" applyBorder="1" applyAlignment="1"/>
    <xf numFmtId="4" fontId="17" fillId="8" borderId="9" xfId="0" applyNumberFormat="1" applyFont="1" applyFill="1" applyBorder="1" applyAlignment="1">
      <alignment horizontal="center" vertical="center"/>
    </xf>
    <xf numFmtId="4" fontId="17" fillId="0" borderId="14" xfId="0" applyNumberFormat="1" applyFont="1" applyFill="1" applyBorder="1" applyAlignment="1">
      <alignment horizontal="center" vertical="center"/>
    </xf>
    <xf numFmtId="165" fontId="17" fillId="0" borderId="14" xfId="0" applyNumberFormat="1" applyFont="1" applyBorder="1" applyAlignment="1">
      <alignment horizontal="center" vertical="center"/>
    </xf>
    <xf numFmtId="0" fontId="17" fillId="0" borderId="9" xfId="1" applyFont="1" applyBorder="1" applyAlignment="1">
      <alignment horizontal="center" vertical="center"/>
    </xf>
    <xf numFmtId="165" fontId="17" fillId="0" borderId="9" xfId="0" applyNumberFormat="1" applyFont="1" applyFill="1" applyBorder="1" applyAlignment="1">
      <alignment horizontal="center" vertical="center"/>
    </xf>
    <xf numFmtId="0" fontId="17" fillId="0" borderId="5" xfId="0" applyFont="1" applyBorder="1" applyAlignment="1">
      <alignment vertical="center" wrapText="1" shrinkToFit="1"/>
    </xf>
    <xf numFmtId="0" fontId="17" fillId="0" borderId="5" xfId="0" applyFont="1" applyBorder="1" applyAlignment="1">
      <alignment horizontal="left" vertical="center" wrapText="1" shrinkToFit="1"/>
    </xf>
    <xf numFmtId="4" fontId="18" fillId="3" borderId="3" xfId="0" applyNumberFormat="1" applyFont="1" applyFill="1" applyBorder="1" applyAlignment="1">
      <alignment horizontal="center" vertical="center"/>
    </xf>
    <xf numFmtId="4" fontId="18" fillId="3" borderId="10" xfId="0" applyNumberFormat="1" applyFont="1" applyFill="1" applyBorder="1" applyAlignment="1">
      <alignment horizontal="center" vertical="center"/>
    </xf>
    <xf numFmtId="0" fontId="23" fillId="0" borderId="5" xfId="0" applyFont="1" applyBorder="1" applyAlignment="1">
      <alignment horizontal="left" vertical="center" wrapText="1"/>
    </xf>
    <xf numFmtId="0" fontId="2" fillId="0" borderId="0" xfId="0" applyFont="1" applyFill="1" applyBorder="1" applyAlignment="1"/>
    <xf numFmtId="0" fontId="0" fillId="0" borderId="0" xfId="0" applyFont="1" applyFill="1" applyAlignment="1"/>
    <xf numFmtId="0" fontId="2" fillId="0" borderId="0" xfId="0" applyFont="1" applyFill="1" applyAlignment="1"/>
    <xf numFmtId="0" fontId="22" fillId="2" borderId="7" xfId="0" applyFont="1" applyFill="1" applyBorder="1" applyAlignment="1">
      <alignment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4" fontId="10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7" fillId="6" borderId="16" xfId="1" applyFont="1" applyFill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12" fillId="0" borderId="12" xfId="0" applyFont="1" applyBorder="1" applyAlignment="1">
      <alignment horizontal="left" vertical="center" wrapText="1"/>
    </xf>
    <xf numFmtId="0" fontId="6" fillId="0" borderId="12" xfId="0" applyFont="1" applyBorder="1"/>
    <xf numFmtId="0" fontId="6" fillId="0" borderId="0" xfId="0" applyFont="1" applyBorder="1"/>
    <xf numFmtId="0" fontId="22" fillId="0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/>
    <xf numFmtId="0" fontId="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/>
    <xf numFmtId="0" fontId="6" fillId="0" borderId="7" xfId="0" applyFont="1" applyBorder="1"/>
    <xf numFmtId="0" fontId="22" fillId="0" borderId="8" xfId="0" applyFont="1" applyBorder="1" applyAlignment="1">
      <alignment horizontal="center" vertical="center" wrapText="1"/>
    </xf>
    <xf numFmtId="0" fontId="6" fillId="0" borderId="11" xfId="0" applyFont="1" applyBorder="1"/>
    <xf numFmtId="0" fontId="6" fillId="0" borderId="10" xfId="0" applyFont="1" applyBorder="1"/>
    <xf numFmtId="0" fontId="22" fillId="0" borderId="9" xfId="0" applyFont="1" applyBorder="1" applyAlignment="1">
      <alignment horizontal="center" vertical="center" wrapText="1"/>
    </xf>
    <xf numFmtId="0" fontId="6" fillId="0" borderId="9" xfId="0" applyFont="1" applyBorder="1"/>
    <xf numFmtId="0" fontId="22" fillId="0" borderId="13" xfId="0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6" fillId="0" borderId="9" xfId="0" applyFont="1" applyFill="1" applyBorder="1"/>
  </cellXfs>
  <cellStyles count="9">
    <cellStyle name="Normal" xfId="2"/>
    <cellStyle name="Обычный" xfId="0" builtinId="0"/>
    <cellStyle name="Обычный 2" xfId="1"/>
    <cellStyle name="Обычный 2 2" xfId="3"/>
    <cellStyle name="Обычный 3" xfId="4"/>
    <cellStyle name="Обычный 3 2" xfId="5"/>
    <cellStyle name="Обычный 4" xfId="6"/>
    <cellStyle name="Обычный 5" xfId="7"/>
    <cellStyle name="Финансовый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0"/>
  <sheetViews>
    <sheetView tabSelected="1" zoomScale="90" zoomScaleNormal="90" zoomScaleSheetLayoutView="40" workbookViewId="0">
      <pane ySplit="9" topLeftCell="A10" activePane="bottomLeft" state="frozen"/>
      <selection activeCell="B1" sqref="B1"/>
      <selection pane="bottomLeft" activeCell="J14" sqref="J14"/>
    </sheetView>
  </sheetViews>
  <sheetFormatPr defaultColWidth="14.42578125" defaultRowHeight="15" customHeight="1"/>
  <cols>
    <col min="1" max="1" width="8.5703125" style="3" customWidth="1"/>
    <col min="2" max="2" width="57.140625" style="3" customWidth="1"/>
    <col min="3" max="3" width="15.5703125" style="3" customWidth="1"/>
    <col min="4" max="4" width="13.28515625" style="3" hidden="1" customWidth="1"/>
    <col min="5" max="5" width="15.140625" style="3" customWidth="1"/>
    <col min="6" max="6" width="15.140625" style="79" customWidth="1"/>
    <col min="7" max="7" width="14.85546875" style="3" hidden="1" customWidth="1"/>
    <col min="8" max="8" width="16.5703125" style="79" customWidth="1"/>
    <col min="9" max="9" width="16.28515625" style="3" customWidth="1"/>
    <col min="10" max="10" width="17.28515625" style="3" customWidth="1"/>
    <col min="11" max="11" width="15.5703125" style="3" customWidth="1"/>
    <col min="12" max="12" width="16.28515625" style="3" customWidth="1"/>
    <col min="13" max="13" width="15.5703125" style="79" customWidth="1"/>
    <col min="14" max="14" width="16.28515625" style="79" customWidth="1"/>
    <col min="15" max="18" width="9.28515625" style="3" customWidth="1"/>
    <col min="19" max="16384" width="14.42578125" style="3"/>
  </cols>
  <sheetData>
    <row r="1" spans="1:19" ht="18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9" ht="21" customHeight="1">
      <c r="A2" s="128" t="s">
        <v>90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O2" s="2"/>
      <c r="P2" s="2"/>
      <c r="Q2" s="2"/>
      <c r="R2" s="2"/>
    </row>
    <row r="3" spans="1:19" ht="18" customHeight="1">
      <c r="A3" s="1"/>
      <c r="B3" s="4"/>
      <c r="C3" s="4"/>
      <c r="D3" s="4"/>
      <c r="E3" s="4"/>
      <c r="F3" s="4"/>
      <c r="G3" s="4"/>
      <c r="H3" s="4"/>
      <c r="I3" s="4"/>
      <c r="J3" s="4"/>
      <c r="K3" s="7"/>
      <c r="L3" s="4"/>
      <c r="M3" s="7"/>
      <c r="N3" s="4"/>
      <c r="O3" s="2"/>
      <c r="P3" s="2"/>
      <c r="Q3" s="2"/>
      <c r="R3" s="2"/>
    </row>
    <row r="4" spans="1:19" ht="20.25" hidden="1" customHeight="1">
      <c r="A4" s="130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O4" s="2"/>
      <c r="P4" s="2"/>
      <c r="Q4" s="2"/>
      <c r="R4" s="2"/>
    </row>
    <row r="5" spans="1:19" ht="18.75" hidden="1" customHeight="1">
      <c r="A5" s="5"/>
      <c r="B5" s="2"/>
      <c r="C5" s="78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9" ht="18.75" customHeight="1">
      <c r="A6" s="131"/>
      <c r="B6" s="134" t="s">
        <v>0</v>
      </c>
      <c r="C6" s="137" t="s">
        <v>1</v>
      </c>
      <c r="D6" s="137" t="s">
        <v>2</v>
      </c>
      <c r="E6" s="137"/>
      <c r="F6" s="137"/>
      <c r="G6" s="142" t="s">
        <v>3</v>
      </c>
      <c r="H6" s="143"/>
      <c r="I6" s="137" t="s">
        <v>4</v>
      </c>
      <c r="J6" s="137"/>
      <c r="K6" s="137"/>
      <c r="L6" s="137"/>
      <c r="M6" s="137"/>
      <c r="N6" s="137"/>
      <c r="O6" s="2"/>
      <c r="P6" s="2"/>
      <c r="Q6" s="2"/>
      <c r="R6" s="2"/>
    </row>
    <row r="7" spans="1:19" ht="22.5" customHeight="1">
      <c r="A7" s="132"/>
      <c r="B7" s="135"/>
      <c r="C7" s="138"/>
      <c r="D7" s="137">
        <v>2023</v>
      </c>
      <c r="E7" s="137">
        <v>2024</v>
      </c>
      <c r="F7" s="127">
        <v>2025</v>
      </c>
      <c r="G7" s="137">
        <v>2025</v>
      </c>
      <c r="H7" s="139">
        <v>2026</v>
      </c>
      <c r="I7" s="127">
        <v>2027</v>
      </c>
      <c r="J7" s="144"/>
      <c r="K7" s="127">
        <v>2028</v>
      </c>
      <c r="L7" s="144"/>
      <c r="M7" s="127">
        <v>2029</v>
      </c>
      <c r="N7" s="144"/>
      <c r="O7" s="2"/>
      <c r="P7" s="2"/>
      <c r="Q7" s="2"/>
      <c r="R7" s="2"/>
    </row>
    <row r="8" spans="1:19" ht="36.75" customHeight="1">
      <c r="A8" s="132"/>
      <c r="B8" s="135"/>
      <c r="C8" s="138"/>
      <c r="D8" s="138"/>
      <c r="E8" s="138"/>
      <c r="F8" s="127"/>
      <c r="G8" s="138"/>
      <c r="H8" s="140"/>
      <c r="I8" s="76" t="s">
        <v>5</v>
      </c>
      <c r="J8" s="76" t="s">
        <v>6</v>
      </c>
      <c r="K8" s="76" t="s">
        <v>5</v>
      </c>
      <c r="L8" s="76" t="s">
        <v>6</v>
      </c>
      <c r="M8" s="76" t="s">
        <v>5</v>
      </c>
      <c r="N8" s="76" t="s">
        <v>6</v>
      </c>
      <c r="O8" s="2"/>
      <c r="P8" s="2"/>
      <c r="Q8" s="112"/>
      <c r="R8" s="112"/>
      <c r="S8" s="111"/>
    </row>
    <row r="9" spans="1:19" ht="30" customHeight="1">
      <c r="A9" s="133"/>
      <c r="B9" s="136"/>
      <c r="C9" s="138"/>
      <c r="D9" s="138"/>
      <c r="E9" s="138"/>
      <c r="F9" s="127"/>
      <c r="G9" s="138"/>
      <c r="H9" s="141"/>
      <c r="I9" s="76" t="s">
        <v>7</v>
      </c>
      <c r="J9" s="76" t="s">
        <v>8</v>
      </c>
      <c r="K9" s="76" t="s">
        <v>7</v>
      </c>
      <c r="L9" s="76" t="s">
        <v>8</v>
      </c>
      <c r="M9" s="76" t="s">
        <v>7</v>
      </c>
      <c r="N9" s="76" t="s">
        <v>8</v>
      </c>
      <c r="O9" s="2"/>
      <c r="P9" s="2"/>
      <c r="Q9" s="112"/>
      <c r="R9" s="112"/>
      <c r="S9" s="111"/>
    </row>
    <row r="10" spans="1:19" ht="19.5" customHeight="1">
      <c r="A10" s="13" t="s">
        <v>9</v>
      </c>
      <c r="B10" s="14" t="s">
        <v>10</v>
      </c>
      <c r="C10" s="113"/>
      <c r="D10" s="114"/>
      <c r="E10" s="115"/>
      <c r="F10" s="116"/>
      <c r="G10" s="89"/>
      <c r="H10" s="89"/>
      <c r="I10" s="77"/>
      <c r="J10" s="77"/>
      <c r="K10" s="77"/>
      <c r="L10" s="77"/>
      <c r="M10" s="77"/>
      <c r="N10" s="77"/>
      <c r="O10" s="2"/>
      <c r="P10" s="2"/>
      <c r="Q10" s="112"/>
      <c r="R10" s="112"/>
      <c r="S10" s="111"/>
    </row>
    <row r="11" spans="1:19" ht="37.5" customHeight="1">
      <c r="A11" s="15"/>
      <c r="B11" s="109" t="s">
        <v>11</v>
      </c>
      <c r="C11" s="17" t="s">
        <v>12</v>
      </c>
      <c r="D11" s="47">
        <v>136.24</v>
      </c>
      <c r="E11" s="81">
        <v>135.1</v>
      </c>
      <c r="F11" s="48" t="s">
        <v>91</v>
      </c>
      <c r="G11" s="58"/>
      <c r="H11" s="58" t="s">
        <v>91</v>
      </c>
      <c r="I11" s="58" t="s">
        <v>91</v>
      </c>
      <c r="J11" s="58" t="s">
        <v>91</v>
      </c>
      <c r="K11" s="49" t="s">
        <v>91</v>
      </c>
      <c r="L11" s="49" t="s">
        <v>91</v>
      </c>
      <c r="M11" s="58" t="s">
        <v>91</v>
      </c>
      <c r="N11" s="49" t="s">
        <v>91</v>
      </c>
      <c r="O11" s="2"/>
      <c r="P11" s="2"/>
      <c r="Q11" s="110"/>
      <c r="R11" s="110"/>
      <c r="S11" s="111"/>
    </row>
    <row r="12" spans="1:19" ht="19.5" customHeight="1">
      <c r="A12" s="13" t="s">
        <v>14</v>
      </c>
      <c r="B12" s="14" t="s">
        <v>15</v>
      </c>
      <c r="C12" s="21"/>
      <c r="D12" s="51"/>
      <c r="E12" s="82"/>
      <c r="F12" s="52"/>
      <c r="G12" s="61"/>
      <c r="H12" s="61"/>
      <c r="I12" s="61"/>
      <c r="J12" s="61"/>
      <c r="K12" s="61"/>
      <c r="L12" s="61"/>
      <c r="M12" s="61"/>
      <c r="N12" s="61"/>
      <c r="O12" s="2"/>
      <c r="P12" s="2"/>
      <c r="Q12" s="112"/>
      <c r="R12" s="112"/>
      <c r="S12" s="111"/>
    </row>
    <row r="13" spans="1:19" ht="27.75" customHeight="1">
      <c r="A13" s="22"/>
      <c r="B13" s="23" t="s">
        <v>16</v>
      </c>
      <c r="C13" s="24" t="s">
        <v>17</v>
      </c>
      <c r="D13" s="53">
        <v>19244</v>
      </c>
      <c r="E13" s="81">
        <v>18326.5</v>
      </c>
      <c r="F13" s="48">
        <v>21357.5</v>
      </c>
      <c r="G13" s="38">
        <v>22396.959999999999</v>
      </c>
      <c r="H13" s="38">
        <f>F13*105.6%*105.1%</f>
        <v>23703.749519999998</v>
      </c>
      <c r="I13" s="66">
        <f>H13*101.5%*104%</f>
        <v>25021.677993311994</v>
      </c>
      <c r="J13" s="71">
        <f>H13*102.1%*104.3%</f>
        <v>25242.193975096554</v>
      </c>
      <c r="K13" s="66">
        <f>I13*125%*104.1%</f>
        <v>32559.458488797231</v>
      </c>
      <c r="L13" s="66">
        <f>J13*130%*104.3%</f>
        <v>34225.890810833414</v>
      </c>
      <c r="M13" s="66">
        <f>K13*110%*103.9%</f>
        <v>37212.205106846362</v>
      </c>
      <c r="N13" s="66">
        <f>L13*115%*103.9%</f>
        <v>40894.805635324301</v>
      </c>
      <c r="O13" s="2"/>
      <c r="P13" s="2"/>
      <c r="Q13" s="112"/>
      <c r="R13" s="112"/>
      <c r="S13" s="111"/>
    </row>
    <row r="14" spans="1:19" ht="81" customHeight="1">
      <c r="A14" s="22"/>
      <c r="B14" s="23" t="s">
        <v>18</v>
      </c>
      <c r="C14" s="24" t="s">
        <v>19</v>
      </c>
      <c r="D14" s="47">
        <v>95.57</v>
      </c>
      <c r="E14" s="81">
        <v>89.15</v>
      </c>
      <c r="F14" s="104">
        <f>(F13/E13*100)/98.7*100</f>
        <v>118.07385184270534</v>
      </c>
      <c r="G14" s="38">
        <v>108.3</v>
      </c>
      <c r="H14" s="38">
        <f>(H13/F13*100)/105.6*100</f>
        <v>105.1</v>
      </c>
      <c r="I14" s="71">
        <f>(I13/H13*100)/104*100</f>
        <v>101.49999999999999</v>
      </c>
      <c r="J14" s="71">
        <f>(J13/H13*100)/104.3*100</f>
        <v>102.1</v>
      </c>
      <c r="K14" s="71">
        <f>122/104.1*100</f>
        <v>117.19500480307397</v>
      </c>
      <c r="L14" s="71">
        <f>130/104.3*100</f>
        <v>124.64046021093</v>
      </c>
      <c r="M14" s="71">
        <f>110/103.9*100</f>
        <v>105.87102983638113</v>
      </c>
      <c r="N14" s="71">
        <f>115/103.9*100</f>
        <v>110.68334937439846</v>
      </c>
      <c r="O14" s="2"/>
      <c r="P14" s="2"/>
      <c r="Q14" s="112"/>
      <c r="R14" s="112"/>
      <c r="S14" s="111"/>
    </row>
    <row r="15" spans="1:19" ht="22.5" customHeight="1">
      <c r="A15" s="12" t="s">
        <v>20</v>
      </c>
      <c r="B15" s="14" t="s">
        <v>21</v>
      </c>
      <c r="C15" s="27"/>
      <c r="D15" s="54"/>
      <c r="E15" s="55"/>
      <c r="F15" s="61"/>
      <c r="G15" s="61"/>
      <c r="H15" s="61"/>
      <c r="I15" s="61"/>
      <c r="J15" s="61"/>
      <c r="K15" s="61"/>
      <c r="L15" s="61"/>
      <c r="M15" s="61"/>
      <c r="N15" s="61"/>
      <c r="O15" s="2"/>
      <c r="P15" s="2"/>
      <c r="Q15" s="2"/>
      <c r="R15" s="2"/>
    </row>
    <row r="16" spans="1:19" ht="63" customHeight="1">
      <c r="A16" s="22"/>
      <c r="B16" s="28" t="s">
        <v>22</v>
      </c>
      <c r="C16" s="29" t="s">
        <v>23</v>
      </c>
      <c r="D16" s="37">
        <v>5060</v>
      </c>
      <c r="E16" s="73">
        <v>14522.6</v>
      </c>
      <c r="F16" s="38">
        <v>11399</v>
      </c>
      <c r="G16" s="38">
        <v>15815</v>
      </c>
      <c r="H16" s="38">
        <f>F16*1.03*1.06</f>
        <v>12445.428200000002</v>
      </c>
      <c r="I16" s="38">
        <f>H16*1.01*1.047</f>
        <v>13160.666958654001</v>
      </c>
      <c r="J16" s="38">
        <f>H16*1.035*1.047</f>
        <v>13486.426041789</v>
      </c>
      <c r="K16" s="38">
        <f>I16*1.02*1.042</f>
        <v>13987.68327033582</v>
      </c>
      <c r="L16" s="38">
        <f>J16*1.04*1.042</f>
        <v>14614.970172965905</v>
      </c>
      <c r="M16" s="38">
        <f>K16*1.02*1.039</f>
        <v>14823.866976236495</v>
      </c>
      <c r="N16" s="38">
        <f>L16*1.04*1.039</f>
        <v>15792.352170100037</v>
      </c>
      <c r="O16" s="2"/>
      <c r="P16" s="2"/>
      <c r="Q16" s="2"/>
      <c r="R16" s="2"/>
    </row>
    <row r="17" spans="1:18" ht="84" customHeight="1">
      <c r="A17" s="22"/>
      <c r="B17" s="28" t="s">
        <v>24</v>
      </c>
      <c r="C17" s="26" t="s">
        <v>19</v>
      </c>
      <c r="D17" s="57">
        <f>D16/2725.6/D18*10000</f>
        <v>174.48044825889204</v>
      </c>
      <c r="E17" s="73">
        <f>E16/D16/E18*10000</f>
        <v>266.24109938621518</v>
      </c>
      <c r="F17" s="101">
        <f t="shared" ref="F17:G17" si="0">F16/E16/F18*10000</f>
        <v>72.947448604270022</v>
      </c>
      <c r="G17" s="73">
        <f t="shared" si="0"/>
        <v>131.75711336368704</v>
      </c>
      <c r="H17" s="73">
        <f>H16/F16/H18*10000</f>
        <v>103</v>
      </c>
      <c r="I17" s="38">
        <f>I16/H16/I18*10000</f>
        <v>101</v>
      </c>
      <c r="J17" s="38">
        <f>J16/H16/J18*10000</f>
        <v>103.49999999999999</v>
      </c>
      <c r="K17" s="38">
        <v>72.7</v>
      </c>
      <c r="L17" s="38">
        <f>L16/J16/L18*10000</f>
        <v>104</v>
      </c>
      <c r="M17" s="38">
        <f t="shared" ref="M17:N17" si="1">M16/K16/M18*10000</f>
        <v>101.99999999999999</v>
      </c>
      <c r="N17" s="38">
        <f t="shared" si="1"/>
        <v>104</v>
      </c>
      <c r="O17" s="2"/>
      <c r="P17" s="2"/>
      <c r="Q17" s="2"/>
      <c r="R17" s="2"/>
    </row>
    <row r="18" spans="1:18" ht="60" customHeight="1">
      <c r="A18" s="22"/>
      <c r="B18" s="28" t="s">
        <v>25</v>
      </c>
      <c r="C18" s="17" t="s">
        <v>26</v>
      </c>
      <c r="D18" s="38">
        <v>106.4</v>
      </c>
      <c r="E18" s="73">
        <v>107.8</v>
      </c>
      <c r="F18" s="38">
        <v>107.6</v>
      </c>
      <c r="G18" s="38">
        <v>105.3</v>
      </c>
      <c r="H18" s="38">
        <v>106</v>
      </c>
      <c r="I18" s="38">
        <v>104.7</v>
      </c>
      <c r="J18" s="38">
        <v>104.7</v>
      </c>
      <c r="K18" s="38">
        <v>104.2</v>
      </c>
      <c r="L18" s="38">
        <v>104.2</v>
      </c>
      <c r="M18" s="38">
        <v>103.9</v>
      </c>
      <c r="N18" s="38">
        <v>103.9</v>
      </c>
      <c r="O18" s="2"/>
      <c r="P18" s="2"/>
      <c r="Q18" s="2"/>
      <c r="R18" s="2"/>
    </row>
    <row r="19" spans="1:18" ht="67.5" customHeight="1">
      <c r="A19" s="22"/>
      <c r="B19" s="16" t="s">
        <v>27</v>
      </c>
      <c r="C19" s="31" t="s">
        <v>28</v>
      </c>
      <c r="D19" s="58">
        <v>58.8</v>
      </c>
      <c r="E19" s="73">
        <v>69.091999999999999</v>
      </c>
      <c r="F19" s="38">
        <v>92.04</v>
      </c>
      <c r="G19" s="38">
        <v>65.833200000000005</v>
      </c>
      <c r="H19" s="38">
        <f>(D19+E19+F19)/3</f>
        <v>73.310666666666677</v>
      </c>
      <c r="I19" s="38">
        <f>H19*1</f>
        <v>73.310666666666677</v>
      </c>
      <c r="J19" s="38">
        <f>H19*1.01</f>
        <v>74.043773333333348</v>
      </c>
      <c r="K19" s="38">
        <f>I19*1.01</f>
        <v>74.043773333333348</v>
      </c>
      <c r="L19" s="38">
        <f>J19*1.02</f>
        <v>75.524648800000023</v>
      </c>
      <c r="M19" s="38">
        <f>K19*1.02</f>
        <v>75.524648800000023</v>
      </c>
      <c r="N19" s="38">
        <f>L19*1.03</f>
        <v>77.790388264000029</v>
      </c>
      <c r="O19" s="2"/>
      <c r="P19" s="2"/>
      <c r="Q19" s="2"/>
      <c r="R19" s="2"/>
    </row>
    <row r="20" spans="1:18" ht="19.5" customHeight="1">
      <c r="A20" s="13" t="s">
        <v>29</v>
      </c>
      <c r="B20" s="14" t="s">
        <v>87</v>
      </c>
      <c r="C20" s="32"/>
      <c r="D20" s="51"/>
      <c r="E20" s="83"/>
      <c r="F20" s="61"/>
      <c r="G20" s="61"/>
      <c r="H20" s="61"/>
      <c r="I20" s="61"/>
      <c r="J20" s="61"/>
      <c r="K20" s="61"/>
      <c r="L20" s="61"/>
      <c r="M20" s="61"/>
      <c r="N20" s="61"/>
      <c r="O20" s="2"/>
      <c r="P20" s="2"/>
      <c r="Q20" s="2"/>
      <c r="R20" s="2"/>
    </row>
    <row r="21" spans="1:18" ht="78.75" customHeight="1">
      <c r="A21" s="22"/>
      <c r="B21" s="28" t="s">
        <v>30</v>
      </c>
      <c r="C21" s="26" t="s">
        <v>31</v>
      </c>
      <c r="D21" s="37">
        <v>109.4</v>
      </c>
      <c r="E21" s="81">
        <v>109.2</v>
      </c>
      <c r="F21" s="48">
        <v>105.6</v>
      </c>
      <c r="G21" s="38">
        <v>107.9</v>
      </c>
      <c r="H21" s="38">
        <v>105.2</v>
      </c>
      <c r="I21" s="38">
        <v>104</v>
      </c>
      <c r="J21" s="38">
        <v>104</v>
      </c>
      <c r="K21" s="38">
        <v>104</v>
      </c>
      <c r="L21" s="38">
        <v>104</v>
      </c>
      <c r="M21" s="38">
        <v>104</v>
      </c>
      <c r="N21" s="38">
        <v>104</v>
      </c>
      <c r="O21" s="2"/>
      <c r="P21" s="2"/>
      <c r="Q21" s="2"/>
      <c r="R21" s="2"/>
    </row>
    <row r="22" spans="1:18" ht="39.75" customHeight="1">
      <c r="A22" s="22"/>
      <c r="B22" s="16" t="s">
        <v>32</v>
      </c>
      <c r="C22" s="26" t="s">
        <v>17</v>
      </c>
      <c r="D22" s="59">
        <v>13213.2</v>
      </c>
      <c r="E22" s="81">
        <v>13504.4</v>
      </c>
      <c r="F22" s="48">
        <v>17462</v>
      </c>
      <c r="G22" s="71">
        <v>15384.37</v>
      </c>
      <c r="H22" s="66">
        <f>F22*H23*H24/10000</f>
        <v>18340.967231999999</v>
      </c>
      <c r="I22" s="66">
        <f>H22*I23*I24/10000</f>
        <v>19305.61040356704</v>
      </c>
      <c r="J22" s="71">
        <f>H22*J23*J24/10000</f>
        <v>19419.507810077757</v>
      </c>
      <c r="K22" s="71">
        <f>I22*K23*K24/10000</f>
        <v>20500.125741677344</v>
      </c>
      <c r="L22" s="50">
        <f>J22*L23*L24/10000</f>
        <v>20721.857681852813</v>
      </c>
      <c r="M22" s="50">
        <f t="shared" ref="M22:N22" si="2">K22*M23*M24/10000</f>
        <v>21917.094432942082</v>
      </c>
      <c r="N22" s="50">
        <f t="shared" si="2"/>
        <v>22218.804680789857</v>
      </c>
      <c r="O22" s="2"/>
      <c r="P22" s="2"/>
      <c r="Q22" s="2"/>
      <c r="R22" s="2"/>
    </row>
    <row r="23" spans="1:18" ht="30" customHeight="1">
      <c r="A23" s="22"/>
      <c r="B23" s="16" t="s">
        <v>34</v>
      </c>
      <c r="C23" s="26" t="s">
        <v>35</v>
      </c>
      <c r="D23" s="59">
        <v>103.2</v>
      </c>
      <c r="E23" s="81">
        <v>93.3</v>
      </c>
      <c r="F23" s="48">
        <v>121.4</v>
      </c>
      <c r="G23" s="71">
        <f>G22/G24/E22*10000</f>
        <v>104.80328098863249</v>
      </c>
      <c r="H23" s="71">
        <v>100.8</v>
      </c>
      <c r="I23" s="71">
        <v>101.7</v>
      </c>
      <c r="J23" s="71">
        <v>102.3</v>
      </c>
      <c r="K23" s="66">
        <v>102.3</v>
      </c>
      <c r="L23" s="66">
        <v>102.8</v>
      </c>
      <c r="M23" s="66">
        <v>102.8</v>
      </c>
      <c r="N23" s="66">
        <v>103.1</v>
      </c>
      <c r="O23" s="2"/>
      <c r="P23" s="2"/>
      <c r="Q23" s="2"/>
      <c r="R23" s="2"/>
    </row>
    <row r="24" spans="1:18" ht="18.75" customHeight="1">
      <c r="A24" s="22"/>
      <c r="B24" s="16" t="s">
        <v>36</v>
      </c>
      <c r="C24" s="26" t="s">
        <v>35</v>
      </c>
      <c r="D24" s="59">
        <v>105.5</v>
      </c>
      <c r="E24" s="102">
        <f>E22/D22/E23*10000</f>
        <v>109.54325482241296</v>
      </c>
      <c r="F24" s="60">
        <v>107.6</v>
      </c>
      <c r="G24" s="60">
        <v>108.7</v>
      </c>
      <c r="H24" s="60">
        <v>104.2</v>
      </c>
      <c r="I24" s="60">
        <v>103.5</v>
      </c>
      <c r="J24" s="60">
        <v>103.5</v>
      </c>
      <c r="K24" s="60">
        <v>103.8</v>
      </c>
      <c r="L24" s="60">
        <v>103.8</v>
      </c>
      <c r="M24" s="60">
        <v>104</v>
      </c>
      <c r="N24" s="60">
        <v>104</v>
      </c>
      <c r="O24" s="2"/>
      <c r="P24" s="2"/>
      <c r="Q24" s="2"/>
      <c r="R24" s="2"/>
    </row>
    <row r="25" spans="1:18" ht="31.5" customHeight="1">
      <c r="A25" s="22"/>
      <c r="B25" s="16" t="s">
        <v>37</v>
      </c>
      <c r="C25" s="26" t="s">
        <v>92</v>
      </c>
      <c r="D25" s="59">
        <v>3242.6</v>
      </c>
      <c r="E25" s="72">
        <v>2959</v>
      </c>
      <c r="F25" s="50">
        <v>2963.2</v>
      </c>
      <c r="G25" s="50">
        <v>3234.75</v>
      </c>
      <c r="H25" s="50">
        <f>F25*H26*H27/10000</f>
        <v>3260.6875008000002</v>
      </c>
      <c r="I25" s="50">
        <f>H25*I26*I27/10000</f>
        <v>3485.1271428550654</v>
      </c>
      <c r="J25" s="50">
        <f>H25*J26*J27/10000</f>
        <v>3502.2783591092734</v>
      </c>
      <c r="K25" s="50">
        <f>I25*K26*K27/10000</f>
        <v>3721.9066809406386</v>
      </c>
      <c r="L25" s="50">
        <f>J25*L26*L27/10000</f>
        <v>3754.8906925951069</v>
      </c>
      <c r="M25" s="50">
        <f>K25*M26*M27/10000</f>
        <v>3963.6184665209666</v>
      </c>
      <c r="N25" s="50">
        <f>L25*N26*N27/10000</f>
        <v>4014.3799236882769</v>
      </c>
      <c r="O25" s="2"/>
      <c r="P25" s="2"/>
      <c r="Q25" s="2"/>
      <c r="R25" s="2"/>
    </row>
    <row r="26" spans="1:18" ht="18.75" customHeight="1">
      <c r="A26" s="22"/>
      <c r="B26" s="16" t="s">
        <v>38</v>
      </c>
      <c r="C26" s="26" t="s">
        <v>35</v>
      </c>
      <c r="D26" s="59">
        <v>95.6</v>
      </c>
      <c r="E26" s="81">
        <v>82.1</v>
      </c>
      <c r="F26" s="48">
        <v>89.4</v>
      </c>
      <c r="G26" s="71">
        <v>98.22</v>
      </c>
      <c r="H26" s="71">
        <v>101.7</v>
      </c>
      <c r="I26" s="71">
        <v>101.6</v>
      </c>
      <c r="J26" s="71">
        <v>102.1</v>
      </c>
      <c r="K26" s="71">
        <v>102</v>
      </c>
      <c r="L26" s="71">
        <v>102.4</v>
      </c>
      <c r="M26" s="71">
        <v>102.3</v>
      </c>
      <c r="N26" s="71">
        <v>102.7</v>
      </c>
      <c r="O26" s="2"/>
      <c r="P26" s="2"/>
      <c r="Q26" s="2"/>
      <c r="R26" s="2"/>
    </row>
    <row r="27" spans="1:18" ht="18.75" customHeight="1">
      <c r="A27" s="22"/>
      <c r="B27" s="16" t="s">
        <v>36</v>
      </c>
      <c r="C27" s="26" t="s">
        <v>35</v>
      </c>
      <c r="D27" s="59">
        <v>105.2</v>
      </c>
      <c r="E27" s="72">
        <f>E25/D25/E26*10000</f>
        <v>111.14973450651961</v>
      </c>
      <c r="F27" s="50">
        <v>111.5</v>
      </c>
      <c r="G27" s="48">
        <v>111.3</v>
      </c>
      <c r="H27" s="48">
        <v>108.2</v>
      </c>
      <c r="I27" s="48">
        <v>105.2</v>
      </c>
      <c r="J27" s="48">
        <v>105.2</v>
      </c>
      <c r="K27" s="48">
        <v>104.7</v>
      </c>
      <c r="L27" s="48">
        <v>104.7</v>
      </c>
      <c r="M27" s="48">
        <v>104.1</v>
      </c>
      <c r="N27" s="48">
        <v>104.1</v>
      </c>
      <c r="O27" s="2"/>
      <c r="P27" s="2"/>
      <c r="Q27" s="2"/>
      <c r="R27" s="2"/>
    </row>
    <row r="28" spans="1:18" ht="37.5" customHeight="1">
      <c r="A28" s="13" t="s">
        <v>39</v>
      </c>
      <c r="B28" s="14" t="s">
        <v>40</v>
      </c>
      <c r="C28" s="32"/>
      <c r="D28" s="56"/>
      <c r="E28" s="84"/>
      <c r="F28" s="61"/>
      <c r="G28" s="61"/>
      <c r="H28" s="61"/>
      <c r="I28" s="61"/>
      <c r="J28" s="61"/>
      <c r="K28" s="61"/>
      <c r="L28" s="61"/>
      <c r="M28" s="61"/>
      <c r="N28" s="61"/>
      <c r="O28" s="2"/>
      <c r="P28" s="2"/>
      <c r="Q28" s="2"/>
      <c r="R28" s="2"/>
    </row>
    <row r="29" spans="1:18" ht="37.5" customHeight="1">
      <c r="A29" s="22"/>
      <c r="B29" s="28" t="s">
        <v>41</v>
      </c>
      <c r="C29" s="26" t="s">
        <v>42</v>
      </c>
      <c r="D29" s="62">
        <v>2892</v>
      </c>
      <c r="E29" s="64">
        <v>2787</v>
      </c>
      <c r="F29" s="63">
        <v>2660</v>
      </c>
      <c r="G29" s="63">
        <v>2700</v>
      </c>
      <c r="H29" s="63">
        <v>2490</v>
      </c>
      <c r="I29" s="63">
        <v>2395</v>
      </c>
      <c r="J29" s="63">
        <v>2500</v>
      </c>
      <c r="K29" s="63">
        <v>2400</v>
      </c>
      <c r="L29" s="63">
        <v>2505</v>
      </c>
      <c r="M29" s="63">
        <v>2403</v>
      </c>
      <c r="N29" s="63">
        <v>2512</v>
      </c>
      <c r="O29" s="2"/>
      <c r="P29" s="2"/>
      <c r="Q29" s="2"/>
      <c r="R29" s="2"/>
    </row>
    <row r="30" spans="1:18" ht="66.75" customHeight="1">
      <c r="A30" s="15"/>
      <c r="B30" s="28" t="s">
        <v>43</v>
      </c>
      <c r="C30" s="33" t="s">
        <v>44</v>
      </c>
      <c r="D30" s="62">
        <v>14.7</v>
      </c>
      <c r="E30" s="64">
        <v>13.53</v>
      </c>
      <c r="F30" s="63">
        <v>12.9</v>
      </c>
      <c r="G30" s="63">
        <v>13.1</v>
      </c>
      <c r="H30" s="63">
        <v>11.95</v>
      </c>
      <c r="I30" s="63">
        <v>11.49</v>
      </c>
      <c r="J30" s="63">
        <v>11.96</v>
      </c>
      <c r="K30" s="63">
        <v>11.49</v>
      </c>
      <c r="L30" s="63">
        <v>12.02</v>
      </c>
      <c r="M30" s="63">
        <v>11.5</v>
      </c>
      <c r="N30" s="63">
        <v>12.1</v>
      </c>
      <c r="O30" s="2"/>
      <c r="P30" s="2"/>
      <c r="Q30" s="2"/>
      <c r="R30" s="2"/>
    </row>
    <row r="31" spans="1:18" ht="37.5" customHeight="1">
      <c r="A31" s="15"/>
      <c r="B31" s="28" t="s">
        <v>45</v>
      </c>
      <c r="C31" s="26" t="s">
        <v>46</v>
      </c>
      <c r="D31" s="62">
        <v>69.67</v>
      </c>
      <c r="E31" s="64">
        <v>132.83000000000001</v>
      </c>
      <c r="F31" s="63">
        <v>113.35</v>
      </c>
      <c r="G31" s="63">
        <v>139.47999999999999</v>
      </c>
      <c r="H31" s="63">
        <v>118.27</v>
      </c>
      <c r="I31" s="63">
        <v>123.37</v>
      </c>
      <c r="J31" s="63">
        <v>124.23</v>
      </c>
      <c r="K31" s="63">
        <v>129.58000000000001</v>
      </c>
      <c r="L31" s="63">
        <v>130.62</v>
      </c>
      <c r="M31" s="63">
        <v>137.05000000000001</v>
      </c>
      <c r="N31" s="63">
        <v>139.78</v>
      </c>
      <c r="O31" s="2"/>
      <c r="P31" s="2"/>
      <c r="Q31" s="2"/>
      <c r="R31" s="2"/>
    </row>
    <row r="32" spans="1:18" ht="19.5" customHeight="1">
      <c r="A32" s="13" t="s">
        <v>47</v>
      </c>
      <c r="B32" s="14" t="s">
        <v>48</v>
      </c>
      <c r="C32" s="32"/>
      <c r="D32" s="56"/>
      <c r="E32" s="84"/>
      <c r="F32" s="61"/>
      <c r="G32" s="61"/>
      <c r="H32" s="61"/>
      <c r="I32" s="61"/>
      <c r="J32" s="61"/>
      <c r="K32" s="61"/>
      <c r="L32" s="61"/>
      <c r="M32" s="61"/>
      <c r="N32" s="61"/>
      <c r="O32" s="2"/>
      <c r="P32" s="2"/>
      <c r="Q32" s="2"/>
      <c r="R32" s="2"/>
    </row>
    <row r="33" spans="1:19" ht="18.75" customHeight="1">
      <c r="A33" s="34"/>
      <c r="B33" s="16" t="s">
        <v>49</v>
      </c>
      <c r="C33" s="26" t="s">
        <v>92</v>
      </c>
      <c r="D33" s="37">
        <f>D37+D38</f>
        <v>22167.1</v>
      </c>
      <c r="E33" s="57">
        <v>45126.3</v>
      </c>
      <c r="F33" s="38">
        <v>45681.4</v>
      </c>
      <c r="G33" s="38">
        <v>53101.9</v>
      </c>
      <c r="H33" s="38">
        <v>43209</v>
      </c>
      <c r="I33" s="65">
        <v>38393.449999999997</v>
      </c>
      <c r="J33" s="65">
        <v>41410</v>
      </c>
      <c r="K33" s="65">
        <v>25760.55</v>
      </c>
      <c r="L33" s="65">
        <v>28659.53</v>
      </c>
      <c r="M33" s="65">
        <v>24987.73</v>
      </c>
      <c r="N33" s="65">
        <v>27799.7</v>
      </c>
      <c r="O33" s="2"/>
      <c r="P33" s="2"/>
      <c r="Q33" s="2"/>
      <c r="R33" s="2"/>
    </row>
    <row r="34" spans="1:19" ht="78.75" customHeight="1">
      <c r="A34" s="34"/>
      <c r="B34" s="28" t="s">
        <v>50</v>
      </c>
      <c r="C34" s="26" t="s">
        <v>51</v>
      </c>
      <c r="D34" s="37">
        <v>120.1</v>
      </c>
      <c r="E34" s="73">
        <f>E33/D33/E35*10000</f>
        <v>188.31943904199423</v>
      </c>
      <c r="F34" s="101">
        <f>(F33/E33*100)/F35*100</f>
        <v>92.616745714805916</v>
      </c>
      <c r="G34" s="38">
        <f>G33/E33/G35*10000</f>
        <v>109.15950896785638</v>
      </c>
      <c r="H34" s="38">
        <f>(H33/F33*100)/H35*100</f>
        <v>88.814771407871675</v>
      </c>
      <c r="I34" s="38">
        <f>(I33/H33*100)/I35*100</f>
        <v>84.624014617765908</v>
      </c>
      <c r="J34" s="38">
        <f>(J33/H33*100)/J35*100</f>
        <v>91.272871943565562</v>
      </c>
      <c r="K34" s="38">
        <f>(K33/I33*100)/K35*100</f>
        <v>64.453612316338948</v>
      </c>
      <c r="L34" s="38">
        <f>(L33/J33*100)/L35*100</f>
        <v>66.483382013607269</v>
      </c>
      <c r="M34" s="38">
        <f>(M33/K33*100)/M35*100</f>
        <v>93.179621914825731</v>
      </c>
      <c r="N34" s="38">
        <f>(N33/L33*100)/N35*100</f>
        <v>93.17948715128037</v>
      </c>
      <c r="O34" s="2"/>
      <c r="P34" s="2"/>
      <c r="Q34" s="2"/>
      <c r="R34" s="2"/>
    </row>
    <row r="35" spans="1:19" ht="18.75" customHeight="1">
      <c r="A35" s="34"/>
      <c r="B35" s="16" t="s">
        <v>52</v>
      </c>
      <c r="C35" s="26" t="s">
        <v>35</v>
      </c>
      <c r="D35" s="37">
        <v>109.1</v>
      </c>
      <c r="E35" s="85">
        <v>108.1</v>
      </c>
      <c r="F35" s="65">
        <v>109.3</v>
      </c>
      <c r="G35" s="65">
        <v>107.8</v>
      </c>
      <c r="H35" s="65">
        <v>106.5</v>
      </c>
      <c r="I35" s="65">
        <v>105</v>
      </c>
      <c r="J35" s="65">
        <v>105</v>
      </c>
      <c r="K35" s="65">
        <v>104.1</v>
      </c>
      <c r="L35" s="65">
        <v>104.1</v>
      </c>
      <c r="M35" s="65">
        <v>104.1</v>
      </c>
      <c r="N35" s="65">
        <v>104.1</v>
      </c>
      <c r="O35" s="2"/>
      <c r="P35" s="2"/>
      <c r="Q35" s="2"/>
      <c r="R35" s="2"/>
    </row>
    <row r="36" spans="1:19" ht="39" customHeight="1">
      <c r="A36" s="95"/>
      <c r="B36" s="94" t="s">
        <v>53</v>
      </c>
      <c r="C36" s="96"/>
      <c r="D36" s="97"/>
      <c r="E36" s="98"/>
      <c r="F36" s="99"/>
      <c r="G36" s="100"/>
      <c r="H36" s="100"/>
      <c r="I36" s="100"/>
      <c r="J36" s="100"/>
      <c r="K36" s="100"/>
      <c r="L36" s="100"/>
      <c r="M36" s="100"/>
      <c r="N36" s="100"/>
      <c r="O36" s="2"/>
      <c r="P36" s="2"/>
      <c r="Q36" s="2"/>
      <c r="R36" s="2"/>
    </row>
    <row r="37" spans="1:19" ht="18.75" customHeight="1">
      <c r="A37" s="34"/>
      <c r="B37" s="16" t="s">
        <v>54</v>
      </c>
      <c r="C37" s="26" t="s">
        <v>17</v>
      </c>
      <c r="D37" s="107">
        <v>11220.9</v>
      </c>
      <c r="E37" s="73">
        <v>20233</v>
      </c>
      <c r="F37" s="38">
        <v>22807.7</v>
      </c>
      <c r="G37" s="38">
        <f>29071.211-676.18</f>
        <v>28395.030999999999</v>
      </c>
      <c r="H37" s="38">
        <v>11164.78</v>
      </c>
      <c r="I37" s="65">
        <v>21116.400000000001</v>
      </c>
      <c r="J37" s="65">
        <v>22572.12</v>
      </c>
      <c r="K37" s="65">
        <v>16056</v>
      </c>
      <c r="L37" s="65">
        <v>15762.74</v>
      </c>
      <c r="M37" s="65">
        <v>13743</v>
      </c>
      <c r="N37" s="65">
        <v>18347</v>
      </c>
      <c r="O37" s="2"/>
      <c r="P37" s="2"/>
      <c r="Q37" s="2"/>
      <c r="R37" s="2"/>
    </row>
    <row r="38" spans="1:19" ht="18.75" customHeight="1">
      <c r="A38" s="34"/>
      <c r="B38" s="16" t="s">
        <v>55</v>
      </c>
      <c r="C38" s="26" t="s">
        <v>17</v>
      </c>
      <c r="D38" s="107">
        <v>10946.2</v>
      </c>
      <c r="E38" s="73">
        <f>24893295/1000</f>
        <v>24893.294999999998</v>
      </c>
      <c r="F38" s="38">
        <v>22873.8</v>
      </c>
      <c r="G38" s="38">
        <f>G33-G37</f>
        <v>24706.869000000002</v>
      </c>
      <c r="H38" s="38">
        <v>32044.23</v>
      </c>
      <c r="I38" s="65">
        <v>17277.05</v>
      </c>
      <c r="J38" s="65">
        <v>18837.88</v>
      </c>
      <c r="K38" s="65">
        <v>9704.5499999999993</v>
      </c>
      <c r="L38" s="65">
        <v>12896.79</v>
      </c>
      <c r="M38" s="65">
        <v>11244.73</v>
      </c>
      <c r="N38" s="65">
        <v>9452.7000000000007</v>
      </c>
      <c r="O38" s="2"/>
      <c r="P38" s="2"/>
      <c r="Q38" s="2"/>
      <c r="R38" s="2"/>
    </row>
    <row r="39" spans="1:19" ht="18.75" customHeight="1">
      <c r="A39" s="35"/>
      <c r="B39" s="36" t="s">
        <v>56</v>
      </c>
      <c r="C39" s="26" t="s">
        <v>17</v>
      </c>
      <c r="D39" s="67">
        <f>9361177/1000</f>
        <v>9361.1769999999997</v>
      </c>
      <c r="E39" s="74">
        <f>23970012/1000</f>
        <v>23970.011999999999</v>
      </c>
      <c r="F39" s="38">
        <v>0</v>
      </c>
      <c r="G39" s="38">
        <v>23650</v>
      </c>
      <c r="H39" s="38">
        <v>23022.17</v>
      </c>
      <c r="I39" s="38">
        <v>16635.09</v>
      </c>
      <c r="J39" s="38">
        <v>18016.990000000002</v>
      </c>
      <c r="K39" s="38">
        <v>8975.09</v>
      </c>
      <c r="L39" s="38">
        <v>11995.11</v>
      </c>
      <c r="M39" s="38">
        <v>10572.97</v>
      </c>
      <c r="N39" s="38">
        <v>8622.34</v>
      </c>
      <c r="O39" s="2"/>
      <c r="P39" s="2"/>
      <c r="Q39" s="2"/>
      <c r="R39" s="2"/>
    </row>
    <row r="40" spans="1:19" ht="18.75" customHeight="1">
      <c r="A40" s="46"/>
      <c r="B40" s="105" t="s">
        <v>88</v>
      </c>
      <c r="C40" s="26" t="s">
        <v>17</v>
      </c>
      <c r="D40" s="38">
        <v>0</v>
      </c>
      <c r="E40" s="73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2"/>
      <c r="P40" s="2"/>
      <c r="Q40" s="2"/>
      <c r="R40" s="2"/>
    </row>
    <row r="41" spans="1:19" ht="18.75" customHeight="1">
      <c r="A41" s="35"/>
      <c r="B41" s="16" t="s">
        <v>57</v>
      </c>
      <c r="C41" s="26" t="s">
        <v>17</v>
      </c>
      <c r="D41" s="108">
        <v>0</v>
      </c>
      <c r="E41" s="73">
        <v>0</v>
      </c>
      <c r="F41" s="93">
        <v>20031</v>
      </c>
      <c r="G41" s="38"/>
      <c r="H41" s="38">
        <v>8134.8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2"/>
      <c r="P41" s="2"/>
      <c r="Q41" s="2"/>
      <c r="R41" s="2"/>
    </row>
    <row r="42" spans="1:19" ht="18.75" customHeight="1">
      <c r="A42" s="35"/>
      <c r="B42" s="16" t="s">
        <v>58</v>
      </c>
      <c r="C42" s="26" t="s">
        <v>17</v>
      </c>
      <c r="D42" s="107">
        <v>856.1</v>
      </c>
      <c r="E42" s="73">
        <f>803891/1000</f>
        <v>803.89099999999996</v>
      </c>
      <c r="F42" s="38">
        <v>1703</v>
      </c>
      <c r="G42" s="38">
        <f>SUM(G43:G45)</f>
        <v>1028.8899999999999</v>
      </c>
      <c r="H42" s="38">
        <v>687.51</v>
      </c>
      <c r="I42" s="38">
        <v>424.57</v>
      </c>
      <c r="J42" s="38">
        <v>552.17999999999995</v>
      </c>
      <c r="K42" s="38">
        <v>562.4</v>
      </c>
      <c r="L42" s="38">
        <v>695.18</v>
      </c>
      <c r="M42" s="38">
        <v>504.38</v>
      </c>
      <c r="N42" s="38">
        <v>623.46</v>
      </c>
      <c r="O42" s="2"/>
      <c r="P42" s="2"/>
      <c r="Q42" s="2"/>
      <c r="R42" s="2"/>
    </row>
    <row r="43" spans="1:19" ht="18.75" customHeight="1">
      <c r="A43" s="46"/>
      <c r="B43" s="46" t="s">
        <v>59</v>
      </c>
      <c r="C43" s="26" t="s">
        <v>17</v>
      </c>
      <c r="D43" s="37">
        <v>277.2</v>
      </c>
      <c r="E43" s="73">
        <f>92790/1000</f>
        <v>92.79</v>
      </c>
      <c r="F43" s="38">
        <v>723.9</v>
      </c>
      <c r="G43" s="38">
        <f>431.75+-172.01</f>
        <v>259.74</v>
      </c>
      <c r="H43" s="38">
        <v>237.73</v>
      </c>
      <c r="I43" s="38">
        <v>242.81</v>
      </c>
      <c r="J43" s="38">
        <v>255.59</v>
      </c>
      <c r="K43" s="38">
        <v>348.58</v>
      </c>
      <c r="L43" s="38">
        <v>430.88</v>
      </c>
      <c r="M43" s="38">
        <v>385.63</v>
      </c>
      <c r="N43" s="38">
        <v>476.68</v>
      </c>
      <c r="O43" s="2"/>
      <c r="P43" s="2"/>
      <c r="Q43" s="2"/>
      <c r="R43" s="2"/>
    </row>
    <row r="44" spans="1:19" ht="18.75" customHeight="1">
      <c r="A44" s="46"/>
      <c r="B44" s="46" t="s">
        <v>60</v>
      </c>
      <c r="C44" s="26" t="s">
        <v>17</v>
      </c>
      <c r="D44" s="37">
        <v>311.3</v>
      </c>
      <c r="E44" s="73">
        <f>424424/1000</f>
        <v>424.42399999999998</v>
      </c>
      <c r="F44" s="38">
        <v>835.2</v>
      </c>
      <c r="G44" s="38">
        <f>433.82+48.7</f>
        <v>482.52</v>
      </c>
      <c r="H44" s="38">
        <v>146.27000000000001</v>
      </c>
      <c r="I44" s="38">
        <v>177.38</v>
      </c>
      <c r="J44" s="38">
        <v>186.72</v>
      </c>
      <c r="K44" s="38">
        <v>176.83</v>
      </c>
      <c r="L44" s="38">
        <v>218.58</v>
      </c>
      <c r="M44" s="38">
        <v>82.29</v>
      </c>
      <c r="N44" s="38">
        <v>101.72</v>
      </c>
      <c r="O44" s="2"/>
      <c r="P44" s="2"/>
      <c r="Q44" s="2"/>
      <c r="R44" s="2"/>
    </row>
    <row r="45" spans="1:19" ht="18.75" customHeight="1">
      <c r="A45" s="46"/>
      <c r="B45" s="46" t="s">
        <v>61</v>
      </c>
      <c r="C45" s="26" t="s">
        <v>17</v>
      </c>
      <c r="D45" s="37">
        <v>698.1</v>
      </c>
      <c r="E45" s="73">
        <f>286677/1000</f>
        <v>286.67700000000002</v>
      </c>
      <c r="F45" s="38">
        <v>143.9</v>
      </c>
      <c r="G45" s="38">
        <v>286.63</v>
      </c>
      <c r="H45" s="38">
        <v>303.51</v>
      </c>
      <c r="I45" s="38">
        <v>4.38</v>
      </c>
      <c r="J45" s="38">
        <v>109.87</v>
      </c>
      <c r="K45" s="38">
        <v>36.99</v>
      </c>
      <c r="L45" s="38">
        <v>45.72</v>
      </c>
      <c r="M45" s="38">
        <v>36.450000000000003</v>
      </c>
      <c r="N45" s="38">
        <v>45.06</v>
      </c>
      <c r="O45" s="2"/>
      <c r="P45" s="2"/>
      <c r="Q45" s="2"/>
      <c r="R45" s="2"/>
    </row>
    <row r="46" spans="1:19" ht="34.5" customHeight="1">
      <c r="A46" s="35"/>
      <c r="B46" s="106" t="s">
        <v>89</v>
      </c>
      <c r="C46" s="26" t="s">
        <v>17</v>
      </c>
      <c r="D46" s="107">
        <f>57620/1000</f>
        <v>57.62</v>
      </c>
      <c r="E46" s="73">
        <f>33232/1000</f>
        <v>33.231999999999999</v>
      </c>
      <c r="F46" s="38">
        <v>107.6</v>
      </c>
      <c r="G46" s="38">
        <f>17.38+4.7+5.9</f>
        <v>27.979999999999997</v>
      </c>
      <c r="H46" s="38">
        <v>199.75</v>
      </c>
      <c r="I46" s="38">
        <v>217.39</v>
      </c>
      <c r="J46" s="38">
        <v>268.70999999999998</v>
      </c>
      <c r="K46" s="38">
        <v>167.06</v>
      </c>
      <c r="L46" s="38">
        <v>206.5</v>
      </c>
      <c r="M46" s="38">
        <v>167.38</v>
      </c>
      <c r="N46" s="38">
        <v>206.9</v>
      </c>
      <c r="O46" s="2"/>
      <c r="P46" s="2"/>
      <c r="Q46" s="2"/>
      <c r="R46" s="2"/>
    </row>
    <row r="47" spans="1:19" ht="27.75" customHeight="1">
      <c r="A47" s="13" t="s">
        <v>62</v>
      </c>
      <c r="B47" s="14" t="s">
        <v>63</v>
      </c>
      <c r="C47" s="32"/>
      <c r="D47" s="55"/>
      <c r="E47" s="86"/>
      <c r="F47" s="61"/>
      <c r="G47" s="61"/>
      <c r="H47" s="61"/>
      <c r="I47" s="61"/>
      <c r="J47" s="61"/>
      <c r="K47" s="61"/>
      <c r="L47" s="61"/>
      <c r="M47" s="61"/>
      <c r="N47" s="61"/>
      <c r="O47" s="2"/>
      <c r="P47" s="2"/>
      <c r="Q47" s="2"/>
      <c r="R47" s="2"/>
    </row>
    <row r="48" spans="1:19" ht="75.75" customHeight="1">
      <c r="A48" s="15"/>
      <c r="B48" s="28" t="s">
        <v>64</v>
      </c>
      <c r="C48" s="17" t="s">
        <v>65</v>
      </c>
      <c r="D48" s="38">
        <v>17106</v>
      </c>
      <c r="E48" s="75">
        <v>18389</v>
      </c>
      <c r="F48" s="39">
        <v>21105</v>
      </c>
      <c r="G48" s="68">
        <v>21102</v>
      </c>
      <c r="H48" s="68">
        <v>22537</v>
      </c>
      <c r="I48" s="68">
        <v>23710</v>
      </c>
      <c r="J48" s="68">
        <v>23710</v>
      </c>
      <c r="K48" s="69">
        <f t="shared" ref="K48:N51" si="3">I48*1.04</f>
        <v>24658.400000000001</v>
      </c>
      <c r="L48" s="69">
        <f t="shared" si="3"/>
        <v>24658.400000000001</v>
      </c>
      <c r="M48" s="69">
        <f t="shared" si="3"/>
        <v>25644.736000000001</v>
      </c>
      <c r="N48" s="69">
        <f t="shared" si="3"/>
        <v>25644.736000000001</v>
      </c>
      <c r="O48" s="110"/>
      <c r="P48" s="110"/>
      <c r="Q48" s="118"/>
      <c r="R48" s="119"/>
      <c r="S48" s="120"/>
    </row>
    <row r="49" spans="1:19" ht="17.25" customHeight="1">
      <c r="A49" s="40"/>
      <c r="B49" s="41" t="s">
        <v>66</v>
      </c>
      <c r="C49" s="17" t="s">
        <v>65</v>
      </c>
      <c r="D49" s="39">
        <v>18646</v>
      </c>
      <c r="E49" s="75">
        <v>20044</v>
      </c>
      <c r="F49" s="39">
        <v>23001</v>
      </c>
      <c r="G49" s="39">
        <v>23001</v>
      </c>
      <c r="H49" s="39">
        <v>24565</v>
      </c>
      <c r="I49" s="39">
        <f>H49*1.052</f>
        <v>25842.38</v>
      </c>
      <c r="J49" s="39">
        <f>H49*1.052</f>
        <v>25842.38</v>
      </c>
      <c r="K49" s="39">
        <f t="shared" si="3"/>
        <v>26876.075200000003</v>
      </c>
      <c r="L49" s="39">
        <f t="shared" si="3"/>
        <v>26876.075200000003</v>
      </c>
      <c r="M49" s="39">
        <f t="shared" si="3"/>
        <v>27951.118208000004</v>
      </c>
      <c r="N49" s="39">
        <f t="shared" si="3"/>
        <v>27951.118208000004</v>
      </c>
      <c r="O49" s="110"/>
      <c r="P49" s="110"/>
      <c r="Q49" s="118"/>
      <c r="R49" s="119"/>
      <c r="S49" s="120"/>
    </row>
    <row r="50" spans="1:19" ht="17.25" customHeight="1">
      <c r="A50" s="40"/>
      <c r="B50" s="41" t="s">
        <v>67</v>
      </c>
      <c r="C50" s="17" t="s">
        <v>65</v>
      </c>
      <c r="D50" s="39">
        <v>14711</v>
      </c>
      <c r="E50" s="75">
        <v>15815</v>
      </c>
      <c r="F50" s="39">
        <v>18148</v>
      </c>
      <c r="G50" s="39">
        <v>18148</v>
      </c>
      <c r="H50" s="39">
        <v>19382</v>
      </c>
      <c r="I50" s="39">
        <f>H50*1.052</f>
        <v>20389.864000000001</v>
      </c>
      <c r="J50" s="39">
        <f>H50*1.052</f>
        <v>20389.864000000001</v>
      </c>
      <c r="K50" s="39">
        <f t="shared" si="3"/>
        <v>21205.458560000003</v>
      </c>
      <c r="L50" s="39">
        <f t="shared" si="3"/>
        <v>21205.458560000003</v>
      </c>
      <c r="M50" s="39">
        <f t="shared" si="3"/>
        <v>22053.676902400002</v>
      </c>
      <c r="N50" s="39">
        <f t="shared" si="3"/>
        <v>22053.676902400002</v>
      </c>
      <c r="O50" s="110"/>
      <c r="P50" s="110"/>
      <c r="Q50" s="118"/>
      <c r="R50" s="119"/>
      <c r="S50" s="120"/>
    </row>
    <row r="51" spans="1:19" ht="20.25" customHeight="1">
      <c r="A51" s="40"/>
      <c r="B51" s="41" t="s">
        <v>68</v>
      </c>
      <c r="C51" s="17" t="s">
        <v>65</v>
      </c>
      <c r="D51" s="39">
        <v>18210</v>
      </c>
      <c r="E51" s="75">
        <v>19029</v>
      </c>
      <c r="F51" s="39">
        <v>20469</v>
      </c>
      <c r="G51" s="39">
        <v>20469</v>
      </c>
      <c r="H51" s="39">
        <v>21861</v>
      </c>
      <c r="I51" s="39">
        <f>H51*1.052</f>
        <v>22997.772000000001</v>
      </c>
      <c r="J51" s="39">
        <f>H51*1.052</f>
        <v>22997.772000000001</v>
      </c>
      <c r="K51" s="39">
        <f t="shared" si="3"/>
        <v>23917.68288</v>
      </c>
      <c r="L51" s="39">
        <f t="shared" si="3"/>
        <v>23917.68288</v>
      </c>
      <c r="M51" s="39">
        <f t="shared" si="3"/>
        <v>24874.390195200001</v>
      </c>
      <c r="N51" s="39">
        <f t="shared" si="3"/>
        <v>24874.390195200001</v>
      </c>
      <c r="O51" s="110"/>
      <c r="P51" s="110"/>
      <c r="Q51" s="118"/>
      <c r="R51" s="119"/>
      <c r="S51" s="120"/>
    </row>
    <row r="52" spans="1:19" ht="18.75" customHeight="1">
      <c r="A52" s="13" t="s">
        <v>69</v>
      </c>
      <c r="B52" s="14" t="s">
        <v>70</v>
      </c>
      <c r="C52" s="32"/>
      <c r="D52" s="70"/>
      <c r="E52" s="83"/>
      <c r="F52" s="61"/>
      <c r="G52" s="61"/>
      <c r="H52" s="61"/>
      <c r="I52" s="61"/>
      <c r="J52" s="61"/>
      <c r="K52" s="61"/>
      <c r="L52" s="61"/>
      <c r="M52" s="61"/>
      <c r="N52" s="61"/>
      <c r="O52" s="110"/>
      <c r="P52" s="110"/>
      <c r="Q52" s="110"/>
      <c r="R52" s="110"/>
      <c r="S52" s="120"/>
    </row>
    <row r="53" spans="1:19" ht="54" customHeight="1">
      <c r="A53" s="22"/>
      <c r="B53" s="19" t="s">
        <v>71</v>
      </c>
      <c r="C53" s="17" t="s">
        <v>13</v>
      </c>
      <c r="D53" s="37">
        <v>31.41</v>
      </c>
      <c r="E53" s="81">
        <v>31.66</v>
      </c>
      <c r="F53" s="48">
        <v>33.450000000000003</v>
      </c>
      <c r="G53" s="38">
        <v>32.97</v>
      </c>
      <c r="H53" s="38">
        <v>34</v>
      </c>
      <c r="I53" s="38">
        <v>34.1</v>
      </c>
      <c r="J53" s="103">
        <v>34.5</v>
      </c>
      <c r="K53" s="103">
        <v>34.78</v>
      </c>
      <c r="L53" s="103">
        <v>35.54</v>
      </c>
      <c r="M53" s="103">
        <v>35.130000000000003</v>
      </c>
      <c r="N53" s="103">
        <v>36.25</v>
      </c>
      <c r="O53" s="117"/>
      <c r="P53" s="117"/>
      <c r="Q53" s="117"/>
      <c r="R53" s="117"/>
      <c r="S53" s="120"/>
    </row>
    <row r="54" spans="1:19" ht="40.5" customHeight="1">
      <c r="A54" s="42"/>
      <c r="B54" s="19" t="s">
        <v>72</v>
      </c>
      <c r="C54" s="17" t="s">
        <v>65</v>
      </c>
      <c r="D54" s="37">
        <v>90622.79</v>
      </c>
      <c r="E54" s="87">
        <v>105756.8</v>
      </c>
      <c r="F54" s="71">
        <v>117673.9</v>
      </c>
      <c r="G54" s="38">
        <v>120361.48</v>
      </c>
      <c r="H54" s="38">
        <f>F54*H55/100</f>
        <v>126970.13810000001</v>
      </c>
      <c r="I54" s="38">
        <v>133254.5</v>
      </c>
      <c r="J54" s="38">
        <f>H54*J55/100</f>
        <v>135223.19707650002</v>
      </c>
      <c r="K54" s="38">
        <f>I54*K55/100</f>
        <v>142049.29699999999</v>
      </c>
      <c r="L54" s="38">
        <f>J54*L55/100</f>
        <v>144553.59767477855</v>
      </c>
      <c r="M54" s="38">
        <f>K54*M55/100</f>
        <v>151850.698493</v>
      </c>
      <c r="N54" s="38">
        <f>L54*N55/100</f>
        <v>154816.90310968782</v>
      </c>
      <c r="O54" s="110"/>
      <c r="P54" s="110"/>
      <c r="Q54" s="110"/>
      <c r="R54" s="110"/>
      <c r="S54" s="120"/>
    </row>
    <row r="55" spans="1:19" ht="60.75" customHeight="1">
      <c r="A55" s="42"/>
      <c r="B55" s="28" t="s">
        <v>73</v>
      </c>
      <c r="C55" s="17" t="s">
        <v>35</v>
      </c>
      <c r="D55" s="37">
        <v>118.58</v>
      </c>
      <c r="E55" s="81">
        <v>116.7</v>
      </c>
      <c r="F55" s="48">
        <v>111.3</v>
      </c>
      <c r="G55" s="38">
        <v>113.8</v>
      </c>
      <c r="H55" s="38">
        <v>107.9</v>
      </c>
      <c r="I55" s="38">
        <v>106</v>
      </c>
      <c r="J55" s="38">
        <v>106.5</v>
      </c>
      <c r="K55" s="38">
        <v>106.6</v>
      </c>
      <c r="L55" s="38">
        <v>106.9</v>
      </c>
      <c r="M55" s="38">
        <v>106.9</v>
      </c>
      <c r="N55" s="38">
        <v>107.1</v>
      </c>
      <c r="O55" s="110"/>
      <c r="P55" s="110"/>
      <c r="Q55" s="110"/>
      <c r="R55" s="110"/>
      <c r="S55" s="120"/>
    </row>
    <row r="56" spans="1:19" ht="39.75" customHeight="1">
      <c r="A56" s="42"/>
      <c r="B56" s="19" t="s">
        <v>74</v>
      </c>
      <c r="C56" s="17" t="s">
        <v>35</v>
      </c>
      <c r="D56" s="37">
        <v>108.39</v>
      </c>
      <c r="E56" s="81">
        <v>106.88</v>
      </c>
      <c r="F56" s="48">
        <v>102.4</v>
      </c>
      <c r="G56" s="38">
        <v>105.47</v>
      </c>
      <c r="H56" s="38">
        <v>102.2</v>
      </c>
      <c r="I56" s="38">
        <v>102</v>
      </c>
      <c r="J56" s="38">
        <v>102.5</v>
      </c>
      <c r="K56" s="38">
        <v>102.5</v>
      </c>
      <c r="L56" s="38">
        <v>102.8</v>
      </c>
      <c r="M56" s="38">
        <v>102.8</v>
      </c>
      <c r="N56" s="38">
        <v>103</v>
      </c>
      <c r="O56" s="110"/>
      <c r="P56" s="110"/>
      <c r="Q56" s="110"/>
      <c r="R56" s="110"/>
      <c r="S56" s="120"/>
    </row>
    <row r="57" spans="1:19" ht="44.25" customHeight="1">
      <c r="A57" s="42"/>
      <c r="B57" s="28" t="s">
        <v>75</v>
      </c>
      <c r="C57" s="17" t="s">
        <v>76</v>
      </c>
      <c r="D57" s="37">
        <v>0.46</v>
      </c>
      <c r="E57" s="81">
        <v>0.33</v>
      </c>
      <c r="F57" s="48">
        <v>0.34</v>
      </c>
      <c r="G57" s="38">
        <v>0.33</v>
      </c>
      <c r="H57" s="38">
        <v>0.33</v>
      </c>
      <c r="I57" s="38">
        <v>0.3</v>
      </c>
      <c r="J57" s="38">
        <v>0.28999999999999998</v>
      </c>
      <c r="K57" s="38">
        <v>0.28000000000000003</v>
      </c>
      <c r="L57" s="38">
        <v>0.27</v>
      </c>
      <c r="M57" s="38">
        <v>0.27</v>
      </c>
      <c r="N57" s="38">
        <v>0.26</v>
      </c>
      <c r="O57" s="110"/>
      <c r="P57" s="110"/>
      <c r="Q57" s="110"/>
      <c r="R57" s="110"/>
      <c r="S57" s="120"/>
    </row>
    <row r="58" spans="1:19" ht="64.5" customHeight="1">
      <c r="A58" s="42"/>
      <c r="B58" s="28" t="s">
        <v>77</v>
      </c>
      <c r="C58" s="17" t="s">
        <v>44</v>
      </c>
      <c r="D58" s="37">
        <v>0.34</v>
      </c>
      <c r="E58" s="88">
        <v>0.25</v>
      </c>
      <c r="F58" s="90">
        <v>0.34</v>
      </c>
      <c r="G58" s="38">
        <v>0.24</v>
      </c>
      <c r="H58" s="38">
        <v>0.33</v>
      </c>
      <c r="I58" s="38">
        <v>0.22</v>
      </c>
      <c r="J58" s="38">
        <v>0.21</v>
      </c>
      <c r="K58" s="38">
        <v>0.2</v>
      </c>
      <c r="L58" s="38">
        <v>0.2</v>
      </c>
      <c r="M58" s="38">
        <v>0.2</v>
      </c>
      <c r="N58" s="38">
        <v>0.2</v>
      </c>
      <c r="O58" s="110"/>
      <c r="P58" s="110"/>
      <c r="Q58" s="110"/>
      <c r="R58" s="110"/>
      <c r="S58" s="120"/>
    </row>
    <row r="59" spans="1:19" ht="39.75" customHeight="1">
      <c r="A59" s="42"/>
      <c r="B59" s="109" t="s">
        <v>78</v>
      </c>
      <c r="C59" s="17" t="s">
        <v>79</v>
      </c>
      <c r="D59" s="37">
        <v>33929.800000000003</v>
      </c>
      <c r="E59" s="81">
        <v>40394.6</v>
      </c>
      <c r="F59" s="48">
        <v>47238.9</v>
      </c>
      <c r="G59" s="38">
        <v>47619.82</v>
      </c>
      <c r="H59" s="38">
        <f>12848.2*4</f>
        <v>51392.800000000003</v>
      </c>
      <c r="I59" s="38">
        <f>H59*I60/100</f>
        <v>54527.760800000004</v>
      </c>
      <c r="J59" s="38">
        <f>H59*J60/100</f>
        <v>54836.117600000005</v>
      </c>
      <c r="K59" s="38">
        <f>I59*K60/100</f>
        <v>58181.120773600007</v>
      </c>
      <c r="L59" s="38">
        <f>J59*L60/100</f>
        <v>58674.645832000002</v>
      </c>
      <c r="M59" s="38">
        <f>K59*M60/100</f>
        <v>62195.618106978414</v>
      </c>
      <c r="N59" s="38">
        <f>L59*N60/100</f>
        <v>62840.545686072001</v>
      </c>
      <c r="O59" s="110"/>
      <c r="P59" s="110"/>
      <c r="Q59" s="110"/>
      <c r="R59" s="110"/>
      <c r="S59" s="120"/>
    </row>
    <row r="60" spans="1:19" ht="43.5" customHeight="1">
      <c r="A60" s="42"/>
      <c r="B60" s="28" t="s">
        <v>80</v>
      </c>
      <c r="C60" s="17" t="s">
        <v>35</v>
      </c>
      <c r="D60" s="37">
        <v>115.15</v>
      </c>
      <c r="E60" s="72">
        <f>E59/D59*100</f>
        <v>119.05345743269926</v>
      </c>
      <c r="F60" s="50">
        <f>F59/E59*100</f>
        <v>116.94360137246069</v>
      </c>
      <c r="G60" s="38">
        <f>G59/E59*100</f>
        <v>117.88659870378714</v>
      </c>
      <c r="H60" s="38">
        <v>108.8</v>
      </c>
      <c r="I60" s="38">
        <v>106.1</v>
      </c>
      <c r="J60" s="38">
        <v>106.7</v>
      </c>
      <c r="K60" s="38">
        <v>106.7</v>
      </c>
      <c r="L60" s="38">
        <v>107</v>
      </c>
      <c r="M60" s="38">
        <v>106.9</v>
      </c>
      <c r="N60" s="38">
        <v>107.1</v>
      </c>
      <c r="O60" s="110"/>
      <c r="P60" s="110"/>
      <c r="Q60" s="110"/>
      <c r="R60" s="110"/>
      <c r="S60" s="120"/>
    </row>
    <row r="61" spans="1:19" ht="63" hidden="1" customHeight="1">
      <c r="A61" s="124"/>
      <c r="B61" s="125"/>
      <c r="C61" s="125"/>
      <c r="D61" s="125"/>
      <c r="E61" s="126"/>
      <c r="F61" s="126"/>
      <c r="G61" s="126"/>
      <c r="H61" s="126"/>
      <c r="I61" s="126"/>
      <c r="J61" s="8"/>
      <c r="K61" s="8"/>
      <c r="L61" s="8"/>
      <c r="M61" s="8"/>
      <c r="N61" s="8"/>
      <c r="O61" s="2"/>
      <c r="P61" s="2"/>
      <c r="Q61" s="2"/>
      <c r="R61" s="2"/>
    </row>
    <row r="62" spans="1:19" s="43" customFormat="1" ht="28.5" hidden="1" customHeight="1">
      <c r="A62" s="44" t="s">
        <v>84</v>
      </c>
      <c r="B62" s="121" t="s">
        <v>85</v>
      </c>
      <c r="C62" s="122"/>
      <c r="D62" s="122"/>
      <c r="E62" s="122"/>
      <c r="F62" s="122"/>
      <c r="G62" s="122"/>
      <c r="H62" s="122"/>
      <c r="I62" s="122"/>
      <c r="J62" s="122"/>
      <c r="K62" s="122"/>
      <c r="L62" s="123"/>
      <c r="M62" s="91"/>
      <c r="N62" s="91"/>
      <c r="O62" s="2"/>
      <c r="P62" s="2"/>
      <c r="Q62" s="2"/>
      <c r="R62" s="2"/>
    </row>
    <row r="63" spans="1:19" s="43" customFormat="1" ht="43.5" hidden="1" customHeight="1">
      <c r="A63" s="42"/>
      <c r="B63" s="16" t="s">
        <v>86</v>
      </c>
      <c r="C63" s="17" t="s">
        <v>33</v>
      </c>
      <c r="D63" s="30">
        <v>62448.3</v>
      </c>
      <c r="E63" s="18">
        <v>63423.8</v>
      </c>
      <c r="F63" s="80"/>
      <c r="G63" s="25">
        <v>64628.852200000008</v>
      </c>
      <c r="H63" s="92"/>
      <c r="I63" s="20">
        <v>67239.85782888002</v>
      </c>
      <c r="J63" s="20">
        <v>69090.505011626985</v>
      </c>
      <c r="K63" s="20">
        <v>68584.654985457615</v>
      </c>
      <c r="L63" s="20">
        <v>70679.586626894394</v>
      </c>
      <c r="M63" s="20">
        <v>68584.654985457615</v>
      </c>
      <c r="N63" s="20">
        <v>70679.586626894394</v>
      </c>
      <c r="O63" s="6"/>
      <c r="P63" s="6"/>
      <c r="Q63" s="6"/>
      <c r="R63" s="6"/>
    </row>
    <row r="64" spans="1:19" ht="42.75" customHeight="1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s="11" customFormat="1" ht="18.75" customHeight="1">
      <c r="A65" s="9" t="s">
        <v>81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</row>
    <row r="66" spans="1:18" s="11" customFormat="1" ht="18.75" customHeight="1">
      <c r="A66" s="9" t="s">
        <v>82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</row>
    <row r="67" spans="1:18" s="11" customFormat="1" ht="18.75" customHeight="1">
      <c r="A67" s="9" t="s">
        <v>83</v>
      </c>
      <c r="B67" s="10"/>
      <c r="C67" s="10"/>
      <c r="D67" s="10"/>
      <c r="I67" s="45"/>
      <c r="J67" s="45"/>
      <c r="K67" s="45"/>
      <c r="L67" s="10"/>
      <c r="M67" s="45"/>
      <c r="N67" s="10"/>
      <c r="O67" s="10"/>
      <c r="P67" s="10"/>
      <c r="Q67" s="10"/>
      <c r="R67" s="10"/>
    </row>
    <row r="68" spans="1:18" ht="18.75" customHeight="1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8.75" customHeight="1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8.75" customHeight="1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8.75" customHeight="1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8.75" customHeight="1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8.75" customHeight="1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8.75" customHeight="1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8.75" customHeight="1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8.75" customHeight="1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8.75" customHeight="1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8.75" customHeight="1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8.75" customHeight="1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8.75" customHeight="1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8.75" customHeight="1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8.75" customHeight="1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8.75" customHeight="1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8.75" customHeight="1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8.75" customHeight="1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8.75" customHeight="1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8.75" customHeight="1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8.75" customHeight="1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8.75" customHeight="1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8.75" customHeight="1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8.75" customHeight="1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8.75" customHeight="1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8.75" customHeight="1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8.75" customHeight="1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8.75" customHeight="1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8.75" customHeight="1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8.75" customHeight="1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8.75" customHeight="1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8.75" customHeight="1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8.75" customHeight="1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8.75" customHeight="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8.75" customHeight="1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8.75" customHeight="1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8.75" customHeight="1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8.75" customHeight="1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8.75" customHeight="1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8.75" customHeight="1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8.75" customHeight="1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8.75" customHeight="1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8.75" customHeight="1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8.75" customHeight="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8.75" customHeight="1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8.75" customHeight="1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8.75" customHeight="1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8.75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8.75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8.75" customHeight="1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8.75" customHeight="1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8.75" customHeight="1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8.75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8.75" customHeight="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8.75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8.75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8.75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8.75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8.75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8.75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8.75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8.75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8.75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8.75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8.75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8.75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8.7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8.7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8.7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8.7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8.7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8.7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8.7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8.7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8.7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8.7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8.7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8.7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8.7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8.7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8.7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8.7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8.7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8.7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8.7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8.7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8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8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8.7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8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8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8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8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8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8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8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8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8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8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8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8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8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8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8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8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8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8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8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8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8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8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8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8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8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8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8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8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8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8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8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8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8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8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8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8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8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8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8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8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8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8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8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8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8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8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8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8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8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8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8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8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8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8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8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8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8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8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8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8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8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8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8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8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8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8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8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8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8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8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8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8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8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8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8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8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8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8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8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8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8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8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8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8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8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8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8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8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8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8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8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8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8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8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8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8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8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8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8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8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8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8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8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8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8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8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8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8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8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8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8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8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8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8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8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8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8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8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8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8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8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8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8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8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8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8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8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8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8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8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8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8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8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8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8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8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8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8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8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8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8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8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8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8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8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8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8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8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8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8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8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8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8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8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8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8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8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8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8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8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8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8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8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8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8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8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8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8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8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8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8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8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8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8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8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8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8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8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8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8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8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8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8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8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8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8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8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8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8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8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8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8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8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8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8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8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8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8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8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8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8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8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8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8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8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8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8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8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8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8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8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8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8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8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8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8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8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8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8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8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8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8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8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8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8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8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8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8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8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8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8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8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8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8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8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8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8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8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8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8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8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8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8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8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8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8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8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8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8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8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8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8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8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8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8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8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8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8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8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8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8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8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8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8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8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8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8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8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8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8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8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8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8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8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8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8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8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8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8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8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8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8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8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8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8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8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8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8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8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8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8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8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8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8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8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8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8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8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8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8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8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8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8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8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8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8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8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8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8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8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8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8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8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8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8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8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8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8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8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8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8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8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8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8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8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8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8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8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8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8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8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8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8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8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8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8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8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8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8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8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8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8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8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8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8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8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8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8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8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8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8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8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8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8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8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8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8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8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8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8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8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8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8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8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8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8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8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8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8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8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8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8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8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8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8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8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8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8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8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8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8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8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8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8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8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8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8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8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8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8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8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8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8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8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8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8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8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8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8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8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8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8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8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8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8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8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8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8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8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8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8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8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8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8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8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8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8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8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8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8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8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8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8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8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8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8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8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8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8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8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8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8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8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8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8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8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8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8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8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8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8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8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8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8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8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8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8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8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8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8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8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8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8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8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8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8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8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8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8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8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8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8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8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8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8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8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8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8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8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8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8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8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8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8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8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8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8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8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8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8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8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8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8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8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8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8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8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8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8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8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8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8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8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8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8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8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8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8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8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8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8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8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8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8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8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8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8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8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8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8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8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8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8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8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8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8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8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8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8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8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8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8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8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8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8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8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8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8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8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8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8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8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8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8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8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8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8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8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8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8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8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8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8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8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8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8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8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8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8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8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8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8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8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8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8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8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8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8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8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8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8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8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8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8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8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8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8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8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8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8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8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8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8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8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8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8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8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8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8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8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8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8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8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8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8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8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8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8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8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8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8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8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8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8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8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8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8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8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8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8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8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8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8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8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8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8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8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8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8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8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8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8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8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8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8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8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8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8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8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8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8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8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8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8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8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8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8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8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8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8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8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8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8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8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8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8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8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8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8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8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8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8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8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8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8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8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8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8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8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8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8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8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8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8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8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8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8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8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8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8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8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8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8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8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8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8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8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8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8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8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8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8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8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8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8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8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8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8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8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8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8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8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8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8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8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8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8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8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8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8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8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8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8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8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8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8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8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8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8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8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8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8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8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8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8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8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8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8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8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8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8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8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8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8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8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8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8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8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8.7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8.7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8.7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8.7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8.7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8.7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8.7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8.7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8.7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8.7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8.7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8.7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8.7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8.7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8.7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8.7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8.7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8.7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8.7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8.7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8.7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8.7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8.7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8.7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8.7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8.7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8.7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8.7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8.7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8.7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8.7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8.7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8.7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8.7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8.7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8.7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8.7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8.7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8.7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8.7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8.7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8.7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8.7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8.7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8.7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8.7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8.7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8.7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8.7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8.7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8.7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8.7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8.7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8.7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8.7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8.7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8.7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8.7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8.7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8.7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8.7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8.7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8.7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8.7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8.7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8.7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8.7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8.7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8.7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8.7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8.7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8.7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8.7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8.7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8.7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8.7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8.7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8.7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8.7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8.7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8.7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8.7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8.7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8.7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8.7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8.7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8.7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8.7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8.7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8.7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8.7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8.7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8.7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8.7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8.7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8.7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8.7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8.7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8.7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8.7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pans="1:18" ht="18.7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pans="1:18" ht="18.7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spans="1:18" ht="18.7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spans="1:18" ht="18.7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spans="1:18" ht="18.7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spans="1:18" ht="18.7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spans="1:18" ht="18.7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spans="1:18" ht="18.7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spans="1:18" ht="18.7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spans="1:18" ht="18.7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spans="1:18" ht="18.7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spans="1:18" ht="18.7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spans="1:18" ht="18.75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spans="1:18" ht="18.75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spans="1:18" ht="18.75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spans="1:18" ht="18.75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</row>
  </sheetData>
  <mergeCells count="18">
    <mergeCell ref="I7:J7"/>
    <mergeCell ref="K7:L7"/>
    <mergeCell ref="B62:L62"/>
    <mergeCell ref="A61:I61"/>
    <mergeCell ref="F7:F9"/>
    <mergeCell ref="A2:L2"/>
    <mergeCell ref="A4:L4"/>
    <mergeCell ref="A6:A9"/>
    <mergeCell ref="B6:B9"/>
    <mergeCell ref="C6:C9"/>
    <mergeCell ref="D7:D9"/>
    <mergeCell ref="E7:E9"/>
    <mergeCell ref="G7:G9"/>
    <mergeCell ref="D6:F6"/>
    <mergeCell ref="H7:H9"/>
    <mergeCell ref="G6:H6"/>
    <mergeCell ref="I6:N6"/>
    <mergeCell ref="M7:N7"/>
  </mergeCells>
  <pageMargins left="0.25" right="0.25" top="0.75" bottom="0.75" header="0.3" footer="0.3"/>
  <pageSetup scale="66" fitToWidth="0" fitToHeight="0" orientation="landscape" r:id="rId1"/>
  <rowBreaks count="3" manualBreakCount="3">
    <brk id="19" max="13" man="1"/>
    <brk id="35" max="13" man="1"/>
    <brk id="56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 2п </vt:lpstr>
      <vt:lpstr>'форма 2п '!Заголовки_для_печати</vt:lpstr>
      <vt:lpstr>'форма 2п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Зубарева Наталья Владимировна</dc:creator>
  <cp:lastModifiedBy>Журавлева Альбина Андреевна</cp:lastModifiedBy>
  <cp:lastPrinted>2026-07-29T05:35:18Z</cp:lastPrinted>
  <dcterms:created xsi:type="dcterms:W3CDTF">2024-08-30T06:06:44Z</dcterms:created>
  <dcterms:modified xsi:type="dcterms:W3CDTF">2026-07-29T05:35:42Z</dcterms:modified>
</cp:coreProperties>
</file>